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" yWindow="252" windowWidth="18672" windowHeight="4608"/>
  </bookViews>
  <sheets>
    <sheet name="Revision Tables" sheetId="2" r:id="rId1"/>
  </sheets>
  <calcPr calcId="145621"/>
</workbook>
</file>

<file path=xl/calcChain.xml><?xml version="1.0" encoding="utf-8"?>
<calcChain xmlns="http://schemas.openxmlformats.org/spreadsheetml/2006/main">
  <c r="F7" i="2" l="1"/>
  <c r="A15" i="2" l="1"/>
  <c r="A7" i="2"/>
  <c r="C15" i="2"/>
  <c r="B15" i="2"/>
  <c r="B7" i="2"/>
  <c r="N9" i="2"/>
  <c r="N4" i="2"/>
  <c r="M10" i="2" l="1"/>
  <c r="N10" i="2" s="1"/>
  <c r="M11" i="2" l="1"/>
  <c r="N11" i="2" s="1"/>
  <c r="C3" i="2"/>
  <c r="D3" i="2" s="1"/>
  <c r="M12" i="2" l="1"/>
  <c r="N12" i="2" s="1"/>
  <c r="E3" i="2"/>
  <c r="E11" i="2"/>
  <c r="F3" i="2"/>
  <c r="D11" i="2" l="1"/>
  <c r="D15" i="2"/>
  <c r="M5" i="2"/>
  <c r="N5" i="2" s="1"/>
  <c r="M6" i="2" l="1"/>
  <c r="M7" i="2" s="1"/>
  <c r="N7" i="2" s="1"/>
  <c r="N6" i="2"/>
  <c r="F11" i="2"/>
  <c r="E15" i="2"/>
  <c r="D18" i="2"/>
  <c r="E7" i="2"/>
  <c r="D7" i="2"/>
  <c r="D19" i="2" l="1"/>
  <c r="A24" i="2"/>
  <c r="M8" i="2"/>
  <c r="N8" i="2" s="1"/>
  <c r="C7" i="2"/>
  <c r="D20" i="2" l="1"/>
  <c r="C24" i="2" s="1"/>
  <c r="B24" i="2"/>
</calcChain>
</file>

<file path=xl/sharedStrings.xml><?xml version="1.0" encoding="utf-8"?>
<sst xmlns="http://schemas.openxmlformats.org/spreadsheetml/2006/main" count="50" uniqueCount="31">
  <si>
    <t>TMDL</t>
  </si>
  <si>
    <t>WLA</t>
  </si>
  <si>
    <t>LA</t>
  </si>
  <si>
    <t>Existing</t>
  </si>
  <si>
    <t>E. coli</t>
  </si>
  <si>
    <t>% Reduction</t>
  </si>
  <si>
    <t>Conversion</t>
  </si>
  <si>
    <t>fecal coliform</t>
  </si>
  <si>
    <t>MOS (1%)</t>
  </si>
  <si>
    <t>Oxon Run MD Allocated Load</t>
  </si>
  <si>
    <t>Oxon Run MD existing load</t>
  </si>
  <si>
    <t>Oxon Run DC existing load</t>
  </si>
  <si>
    <t>% reduction</t>
  </si>
  <si>
    <t>District TMDL</t>
  </si>
  <si>
    <t>MOS</t>
  </si>
  <si>
    <t>Allocated</t>
  </si>
  <si>
    <t>Maryland TMDL</t>
  </si>
  <si>
    <t>Determining Max and Avg Daily Loads for Oxon Run</t>
  </si>
  <si>
    <t>1. LTA (MPN/year)</t>
  </si>
  <si>
    <t>2. Average daily load (MPN)</t>
  </si>
  <si>
    <t>3. Max daily load (MPN)</t>
  </si>
  <si>
    <t>LTA (MPN/year)</t>
  </si>
  <si>
    <t>Max daily load (MPN)</t>
  </si>
  <si>
    <t>Avg daily load (MPN)</t>
  </si>
  <si>
    <t>Table 4: Maximum and average daily E. coli loads for Oxon Run</t>
  </si>
  <si>
    <t>Log2(E. coli)= 0.9377[Log2(Fecal coliform)]-0.4614</t>
  </si>
  <si>
    <t>Table 1: District of Columbia fecal coliform average existing loads, TMDL, and necessary percent reduction for Oxon Run (MPN/year)</t>
  </si>
  <si>
    <t>Tabel 2: District of Columbia E. coli average existing loads, TMDL, and necessary percent reduction for Oxon Run (MPN/year)</t>
  </si>
  <si>
    <t>Table 3: Maryland corrected fecal coliform existing and allocated loads, and necessary percent reduction for Oxon Run (MPN/year)</t>
  </si>
  <si>
    <t>Table 4: Maryland E. coli existing and allocated loads, and necessary percent reduction for Oxon Run (MPN/year)</t>
  </si>
  <si>
    <t>MOS (1.3%)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</si>
</sst>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0000E+00"/>
    <numFmt numFmtId="165" formatCode="0.000"/>
    <numFmt numFmtId="166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11" fontId="0" fillId="0" borderId="0" xfId="0" applyNumberFormat="1"/>
    <xf numFmtId="0" fontId="0" fillId="0" borderId="0" xfId="0" applyBorder="1"/>
    <xf numFmtId="0" fontId="5" fillId="0" borderId="0" xfId="0" applyFont="1"/>
    <xf numFmtId="0" fontId="5" fillId="2" borderId="0" xfId="0" applyFont="1" applyFill="1"/>
    <xf numFmtId="3" fontId="4" fillId="2" borderId="0" xfId="0" applyNumberFormat="1" applyFont="1" applyFill="1"/>
    <xf numFmtId="0" fontId="4" fillId="3" borderId="0" xfId="0" applyFont="1" applyFill="1"/>
    <xf numFmtId="0" fontId="3" fillId="0" borderId="1" xfId="0" applyFont="1" applyBorder="1" applyAlignment="1">
      <alignment horizontal="center" wrapText="1"/>
    </xf>
    <xf numFmtId="3" fontId="0" fillId="0" borderId="0" xfId="0" applyNumberFormat="1" applyBorder="1"/>
    <xf numFmtId="0" fontId="1" fillId="0" borderId="0" xfId="0" applyFont="1" applyBorder="1" applyAlignment="1">
      <alignment vertical="center" wrapText="1"/>
    </xf>
    <xf numFmtId="3" fontId="0" fillId="0" borderId="0" xfId="0" quotePrefix="1" applyNumberFormat="1" applyBorder="1"/>
    <xf numFmtId="11" fontId="2" fillId="0" borderId="0" xfId="0" applyNumberFormat="1" applyFont="1" applyBorder="1" applyAlignment="1">
      <alignment vertical="center" wrapText="1"/>
    </xf>
    <xf numFmtId="0" fontId="0" fillId="3" borderId="0" xfId="0" applyFill="1" applyBorder="1"/>
    <xf numFmtId="0" fontId="1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/>
    <xf numFmtId="0" fontId="5" fillId="0" borderId="0" xfId="0" applyFont="1" applyBorder="1"/>
    <xf numFmtId="11" fontId="5" fillId="3" borderId="0" xfId="0" applyNumberFormat="1" applyFont="1" applyFill="1" applyBorder="1"/>
    <xf numFmtId="0" fontId="5" fillId="0" borderId="0" xfId="0" applyFont="1" applyFill="1" applyBorder="1"/>
    <xf numFmtId="0" fontId="3" fillId="0" borderId="1" xfId="0" applyFont="1" applyFill="1" applyBorder="1" applyAlignment="1">
      <alignment horizontal="center" wrapText="1"/>
    </xf>
    <xf numFmtId="11" fontId="0" fillId="0" borderId="1" xfId="0" applyNumberFormat="1" applyFill="1" applyBorder="1" applyAlignment="1">
      <alignment horizontal="left"/>
    </xf>
    <xf numFmtId="9" fontId="0" fillId="0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left"/>
    </xf>
    <xf numFmtId="0" fontId="6" fillId="0" borderId="3" xfId="0" applyFont="1" applyBorder="1"/>
    <xf numFmtId="0" fontId="0" fillId="0" borderId="4" xfId="0" applyBorder="1"/>
    <xf numFmtId="0" fontId="0" fillId="0" borderId="5" xfId="0" applyBorder="1"/>
    <xf numFmtId="11" fontId="0" fillId="0" borderId="8" xfId="0" applyNumberFormat="1" applyBorder="1"/>
    <xf numFmtId="0" fontId="0" fillId="0" borderId="7" xfId="0" applyBorder="1"/>
    <xf numFmtId="11" fontId="0" fillId="0" borderId="2" xfId="0" applyNumberFormat="1" applyBorder="1"/>
    <xf numFmtId="164" fontId="0" fillId="0" borderId="0" xfId="0" applyNumberFormat="1"/>
    <xf numFmtId="165" fontId="0" fillId="0" borderId="0" xfId="0" applyNumberFormat="1"/>
    <xf numFmtId="0" fontId="5" fillId="3" borderId="0" xfId="0" applyFont="1" applyFill="1" applyBorder="1"/>
    <xf numFmtId="166" fontId="0" fillId="0" borderId="0" xfId="1" applyNumberFormat="1" applyFont="1"/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3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C3" sqref="C3"/>
    </sheetView>
  </sheetViews>
  <sheetFormatPr defaultRowHeight="14.4" x14ac:dyDescent="0.3"/>
  <cols>
    <col min="1" max="1" width="15.6640625" customWidth="1"/>
    <col min="2" max="2" width="13.33203125" customWidth="1"/>
    <col min="3" max="3" width="11.6640625" customWidth="1"/>
    <col min="4" max="4" width="13.88671875" customWidth="1"/>
    <col min="5" max="5" width="13" customWidth="1"/>
    <col min="6" max="6" width="9.88671875" customWidth="1"/>
    <col min="7" max="7" width="10.44140625" customWidth="1"/>
    <col min="9" max="10" width="9.88671875" bestFit="1" customWidth="1"/>
    <col min="13" max="13" width="10" style="15" customWidth="1"/>
    <col min="14" max="14" width="9.109375" style="15"/>
    <col min="15" max="15" width="12.109375" customWidth="1"/>
    <col min="16" max="16" width="13.44140625" customWidth="1"/>
  </cols>
  <sheetData>
    <row r="1" spans="1:17" ht="15" x14ac:dyDescent="0.25">
      <c r="A1" t="s">
        <v>26</v>
      </c>
      <c r="K1" s="3"/>
      <c r="L1" s="3"/>
      <c r="M1" s="5" t="s">
        <v>25</v>
      </c>
      <c r="N1" s="4"/>
      <c r="O1" s="4"/>
      <c r="P1" s="4"/>
      <c r="Q1" s="4"/>
    </row>
    <row r="2" spans="1:17" ht="30" x14ac:dyDescent="0.25">
      <c r="A2" s="7" t="s">
        <v>11</v>
      </c>
      <c r="B2" s="7" t="s">
        <v>0</v>
      </c>
      <c r="C2" s="7" t="s">
        <v>8</v>
      </c>
      <c r="D2" s="7" t="s">
        <v>1</v>
      </c>
      <c r="E2" s="7" t="s">
        <v>2</v>
      </c>
      <c r="F2" s="7" t="s">
        <v>12</v>
      </c>
      <c r="K2" s="3"/>
      <c r="L2" s="3"/>
      <c r="M2" s="38" t="s">
        <v>6</v>
      </c>
      <c r="N2" s="38"/>
    </row>
    <row r="3" spans="1:17" ht="15" x14ac:dyDescent="0.25">
      <c r="A3" s="23">
        <v>1100000000000000</v>
      </c>
      <c r="B3" s="23">
        <v>110000000000000</v>
      </c>
      <c r="C3" s="23">
        <f>B3/100</f>
        <v>1100000000000</v>
      </c>
      <c r="D3" s="23">
        <f>(B3-C3)*0.902</f>
        <v>98227800000000</v>
      </c>
      <c r="E3" s="23">
        <f>(B3-C3)*0.095</f>
        <v>10345500000000</v>
      </c>
      <c r="F3" s="22">
        <f>(A3-B3)/A3</f>
        <v>0.9</v>
      </c>
      <c r="K3" s="3"/>
      <c r="L3" s="3"/>
      <c r="M3" s="6" t="s">
        <v>7</v>
      </c>
      <c r="N3" s="6" t="s">
        <v>4</v>
      </c>
    </row>
    <row r="4" spans="1:17" ht="24" customHeight="1" x14ac:dyDescent="0.3">
      <c r="E4" s="30"/>
      <c r="K4" s="39" t="s">
        <v>13</v>
      </c>
      <c r="L4" s="16" t="s">
        <v>3</v>
      </c>
      <c r="M4" s="17">
        <v>1100000000000000</v>
      </c>
      <c r="N4" s="17">
        <f>2^(0.9377*(LOG(M4,2))-0.4614)</f>
        <v>92346125945761.656</v>
      </c>
    </row>
    <row r="5" spans="1:17" x14ac:dyDescent="0.3">
      <c r="A5" t="s">
        <v>27</v>
      </c>
      <c r="K5" s="39"/>
      <c r="L5" s="16" t="s">
        <v>0</v>
      </c>
      <c r="M5" s="17">
        <f>110000000000000</f>
        <v>110000000000000</v>
      </c>
      <c r="N5" s="17">
        <f t="shared" ref="N5:N12" si="0">2^(0.9377*(LOG(M5,2))-0.4614)</f>
        <v>10659054453386.943</v>
      </c>
    </row>
    <row r="6" spans="1:17" ht="31.5" customHeight="1" x14ac:dyDescent="0.3">
      <c r="A6" s="7" t="s">
        <v>11</v>
      </c>
      <c r="B6" s="7" t="s">
        <v>0</v>
      </c>
      <c r="C6" s="7" t="s">
        <v>14</v>
      </c>
      <c r="D6" s="7" t="s">
        <v>1</v>
      </c>
      <c r="E6" s="7" t="s">
        <v>2</v>
      </c>
      <c r="F6" s="7" t="s">
        <v>5</v>
      </c>
      <c r="K6" s="39"/>
      <c r="L6" s="16" t="s">
        <v>14</v>
      </c>
      <c r="M6" s="17">
        <f>0.01*M5</f>
        <v>1100000000000</v>
      </c>
      <c r="N6" s="17">
        <f t="shared" si="0"/>
        <v>142009919380.23917</v>
      </c>
    </row>
    <row r="7" spans="1:17" x14ac:dyDescent="0.3">
      <c r="A7" s="20">
        <f>2^(0.9377*LOG(A3,2)-0.4614)</f>
        <v>92346125945761.656</v>
      </c>
      <c r="B7" s="20">
        <f>2^(0.9377*LOG(B3,2)-0.4614)</f>
        <v>10659054453386.943</v>
      </c>
      <c r="C7" s="23">
        <f>B7-D7-E7</f>
        <v>138247936260.42859</v>
      </c>
      <c r="D7" s="23">
        <f>(B7-(B7*0.01))*0.902</f>
        <v>9518322445785.4727</v>
      </c>
      <c r="E7" s="23">
        <f>(B7-(B7*0.01))*0.095</f>
        <v>1002484071341.0421</v>
      </c>
      <c r="F7" s="21">
        <f>(A3-B3)/A3</f>
        <v>0.9</v>
      </c>
      <c r="K7" s="39"/>
      <c r="L7" s="18" t="s">
        <v>1</v>
      </c>
      <c r="M7" s="17">
        <f>(M5-M6)*0.902</f>
        <v>98227800000000</v>
      </c>
      <c r="N7" s="17">
        <f t="shared" si="0"/>
        <v>9585681022191.793</v>
      </c>
    </row>
    <row r="8" spans="1:17" x14ac:dyDescent="0.3">
      <c r="C8" s="31"/>
      <c r="E8" s="1"/>
      <c r="K8" s="39"/>
      <c r="L8" s="18" t="s">
        <v>2</v>
      </c>
      <c r="M8" s="17">
        <f>(M5-M6)*0.095</f>
        <v>10345500000000</v>
      </c>
      <c r="N8" s="17">
        <f t="shared" si="0"/>
        <v>1161548176958.5288</v>
      </c>
    </row>
    <row r="9" spans="1:17" ht="24" customHeight="1" x14ac:dyDescent="0.3">
      <c r="A9" t="s">
        <v>28</v>
      </c>
      <c r="K9" s="39" t="s">
        <v>16</v>
      </c>
      <c r="L9" s="18" t="s">
        <v>3</v>
      </c>
      <c r="M9" s="32">
        <v>787000000000000</v>
      </c>
      <c r="N9" s="17">
        <f t="shared" si="0"/>
        <v>67462163765277.758</v>
      </c>
      <c r="O9" s="3"/>
      <c r="P9" s="3"/>
      <c r="Q9" s="3"/>
    </row>
    <row r="10" spans="1:17" ht="28.8" x14ac:dyDescent="0.3">
      <c r="A10" s="7" t="s">
        <v>10</v>
      </c>
      <c r="B10" s="7" t="s">
        <v>0</v>
      </c>
      <c r="C10" s="7" t="s">
        <v>8</v>
      </c>
      <c r="D10" s="19" t="s">
        <v>9</v>
      </c>
      <c r="E10" s="7" t="s">
        <v>12</v>
      </c>
      <c r="F10" s="7" t="s">
        <v>5</v>
      </c>
      <c r="K10" s="39"/>
      <c r="L10" s="18" t="s">
        <v>0</v>
      </c>
      <c r="M10" s="32">
        <f>M9/10</f>
        <v>78700000000000</v>
      </c>
      <c r="N10" s="17">
        <f t="shared" si="0"/>
        <v>7786822346394.3975</v>
      </c>
      <c r="O10" s="3"/>
      <c r="P10" s="3"/>
      <c r="Q10" s="3"/>
    </row>
    <row r="11" spans="1:17" ht="24" customHeight="1" x14ac:dyDescent="0.3">
      <c r="A11" s="23">
        <v>787000000000000</v>
      </c>
      <c r="B11" s="23">
        <v>78700000000000</v>
      </c>
      <c r="C11" s="23">
        <v>787000000000</v>
      </c>
      <c r="D11" s="23">
        <f>B11-C11</f>
        <v>77913000000000</v>
      </c>
      <c r="E11" s="22">
        <f>(A11-B11)/A11</f>
        <v>0.9</v>
      </c>
      <c r="F11" s="21">
        <f>(A7-B7)/A7</f>
        <v>0.88457496896353405</v>
      </c>
      <c r="K11" s="39"/>
      <c r="L11" s="18" t="s">
        <v>14</v>
      </c>
      <c r="M11" s="32">
        <f>M10/100</f>
        <v>787000000000</v>
      </c>
      <c r="N11" s="17">
        <f t="shared" si="0"/>
        <v>103743349700.9987</v>
      </c>
      <c r="O11" s="3"/>
      <c r="P11" s="3"/>
      <c r="Q11" s="3"/>
    </row>
    <row r="12" spans="1:17" ht="15" customHeight="1" x14ac:dyDescent="0.3">
      <c r="K12" s="39"/>
      <c r="L12" s="18" t="s">
        <v>15</v>
      </c>
      <c r="M12" s="32">
        <f>M10-M11</f>
        <v>77913000000000</v>
      </c>
      <c r="N12" s="17">
        <f t="shared" si="0"/>
        <v>7713782487489.2744</v>
      </c>
      <c r="O12" s="3"/>
      <c r="P12" s="3"/>
      <c r="Q12" s="3"/>
    </row>
    <row r="13" spans="1:17" ht="15" x14ac:dyDescent="0.25">
      <c r="A13" t="s">
        <v>29</v>
      </c>
      <c r="O13" s="3"/>
      <c r="P13" s="3"/>
      <c r="Q13" s="3"/>
    </row>
    <row r="14" spans="1:17" ht="45" x14ac:dyDescent="0.25">
      <c r="A14" s="7" t="s">
        <v>10</v>
      </c>
      <c r="B14" s="7" t="s">
        <v>0</v>
      </c>
      <c r="C14" s="7" t="s">
        <v>30</v>
      </c>
      <c r="D14" s="19" t="s">
        <v>9</v>
      </c>
      <c r="E14" s="7" t="s">
        <v>5</v>
      </c>
      <c r="O14" s="2"/>
      <c r="P14" s="2"/>
    </row>
    <row r="15" spans="1:17" ht="15" x14ac:dyDescent="0.25">
      <c r="A15" s="20">
        <f>2^(0.9377*LOG(A11,2)-0.4614)</f>
        <v>67462163765277.758</v>
      </c>
      <c r="B15" s="20">
        <f>2^(0.9377*LOG(B11,2)-0.4614)</f>
        <v>7786822346394.3975</v>
      </c>
      <c r="C15" s="20">
        <f>2^(0.9377*LOG(C11,2)-0.4614)</f>
        <v>103743349700.9987</v>
      </c>
      <c r="D15" s="20">
        <f>B15-C15</f>
        <v>7683078996693.3984</v>
      </c>
      <c r="E15" s="22">
        <f>(A15-B15)/A15</f>
        <v>0.88457496896353305</v>
      </c>
      <c r="G15" s="1"/>
      <c r="H15" s="33"/>
      <c r="I15" s="1"/>
      <c r="O15" s="2"/>
      <c r="P15" s="2"/>
    </row>
    <row r="16" spans="1:17" ht="24.75" customHeight="1" thickBot="1" x14ac:dyDescent="0.3">
      <c r="C16" s="31"/>
      <c r="D16" s="1"/>
      <c r="O16" s="2"/>
      <c r="P16" s="2"/>
    </row>
    <row r="17" spans="1:16" ht="15" customHeight="1" x14ac:dyDescent="0.25">
      <c r="A17" s="24" t="s">
        <v>17</v>
      </c>
      <c r="B17" s="25"/>
      <c r="C17" s="25"/>
      <c r="D17" s="26"/>
      <c r="O17" s="2"/>
      <c r="P17" s="2"/>
    </row>
    <row r="18" spans="1:16" ht="15" x14ac:dyDescent="0.25">
      <c r="A18" s="34" t="s">
        <v>18</v>
      </c>
      <c r="B18" s="35"/>
      <c r="C18" s="2"/>
      <c r="D18" s="27">
        <f>B7+B15</f>
        <v>18445876799781.34</v>
      </c>
      <c r="O18" s="2"/>
      <c r="P18" s="2"/>
    </row>
    <row r="19" spans="1:16" ht="15" x14ac:dyDescent="0.25">
      <c r="A19" s="34" t="s">
        <v>19</v>
      </c>
      <c r="B19" s="35"/>
      <c r="C19" s="2"/>
      <c r="D19" s="27">
        <f>D18/365</f>
        <v>50536648766.524216</v>
      </c>
      <c r="O19" s="2"/>
      <c r="P19" s="2"/>
    </row>
    <row r="20" spans="1:16" ht="17.25" thickBot="1" x14ac:dyDescent="0.3">
      <c r="A20" s="36" t="s">
        <v>20</v>
      </c>
      <c r="B20" s="37"/>
      <c r="C20" s="28"/>
      <c r="D20" s="29">
        <f>D19*3.11</f>
        <v>157168977663.89029</v>
      </c>
      <c r="O20" s="9"/>
      <c r="P20" s="9"/>
    </row>
    <row r="21" spans="1:16" ht="16.5" x14ac:dyDescent="0.25">
      <c r="K21" s="10"/>
      <c r="L21" s="8"/>
      <c r="M21" s="13"/>
      <c r="N21" s="13"/>
      <c r="O21" s="11"/>
      <c r="P21" s="11"/>
    </row>
    <row r="22" spans="1:16" ht="16.5" x14ac:dyDescent="0.25">
      <c r="A22" t="s">
        <v>24</v>
      </c>
      <c r="K22" s="8"/>
      <c r="L22" s="8"/>
      <c r="M22" s="12"/>
      <c r="N22" s="14"/>
      <c r="O22" s="11"/>
      <c r="P22" s="11"/>
    </row>
    <row r="23" spans="1:16" ht="28.8" x14ac:dyDescent="0.3">
      <c r="A23" s="7" t="s">
        <v>21</v>
      </c>
      <c r="B23" s="7" t="s">
        <v>23</v>
      </c>
      <c r="C23" s="7" t="s">
        <v>22</v>
      </c>
      <c r="K23" s="8"/>
      <c r="L23" s="8"/>
      <c r="M23" s="12"/>
      <c r="N23" s="14"/>
      <c r="O23" s="2"/>
      <c r="P23" s="2"/>
    </row>
    <row r="24" spans="1:16" x14ac:dyDescent="0.3">
      <c r="A24" s="23">
        <f>D18</f>
        <v>18445876799781.34</v>
      </c>
      <c r="B24" s="23">
        <f>D19</f>
        <v>50536648766.524216</v>
      </c>
      <c r="C24" s="23">
        <f>D20</f>
        <v>157168977663.89029</v>
      </c>
      <c r="K24" s="8"/>
      <c r="L24" s="8"/>
      <c r="M24" s="12"/>
      <c r="N24" s="12"/>
      <c r="O24" s="2"/>
      <c r="P24" s="2"/>
    </row>
    <row r="25" spans="1:16" x14ac:dyDescent="0.3">
      <c r="K25" s="8"/>
      <c r="L25" s="8"/>
      <c r="M25" s="12"/>
      <c r="N25" s="12"/>
      <c r="O25" s="9"/>
      <c r="P25" s="9"/>
    </row>
    <row r="31" spans="1:16" ht="29.25" customHeight="1" x14ac:dyDescent="0.3"/>
  </sheetData>
  <sheetProtection password="C560" sheet="1" objects="1" scenarios="1"/>
  <mergeCells count="6">
    <mergeCell ref="A18:B18"/>
    <mergeCell ref="A19:B19"/>
    <mergeCell ref="A20:B20"/>
    <mergeCell ref="M2:N2"/>
    <mergeCell ref="K4:K8"/>
    <mergeCell ref="K9:K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Revision Tables</vt:lpstr>
    </vt:vector>
  </TitlesOfParts>
  <Company>Tetra Tech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Rafi, Teresa</dc:creator>
  <cp:lastModifiedBy>Rafi, Teresa</cp:lastModifiedBy>
  <dcterms:created xsi:type="dcterms:W3CDTF">2012-05-04T15:36:35Z</dcterms:created>
  <dcterms:modified xsi:type="dcterms:W3CDTF">2013-02-01T15:10:41Z</dcterms:modified>
</cp:coreProperties>
</file>