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-135" windowWidth="19440" windowHeight="7995"/>
  </bookViews>
  <sheets>
    <sheet name="Green Roof" sheetId="1" r:id="rId1"/>
    <sheet name="Bioretention" sheetId="2" r:id="rId2"/>
    <sheet name="Infiltration Basins_Trench" sheetId="3" r:id="rId3"/>
    <sheet name="Dry Swale" sheetId="4" r:id="rId4"/>
    <sheet name="Rainwater Harvesting" sheetId="5" r:id="rId5"/>
    <sheet name="Impervious Surface Disconnectio" sheetId="6" r:id="rId6"/>
    <sheet name="Permeable Pavement System" sheetId="12" r:id="rId7"/>
    <sheet name="Stormwater-Wetland Pond" sheetId="8" r:id="rId8"/>
    <sheet name="Wetland Swale" sheetId="11" r:id="rId9"/>
    <sheet name="Grass Channel" sheetId="10" r:id="rId10"/>
    <sheet name="Tree Planting and Preservation" sheetId="13" r:id="rId11"/>
  </sheets>
  <calcPr calcId="145621"/>
</workbook>
</file>

<file path=xl/calcChain.xml><?xml version="1.0" encoding="utf-8"?>
<calcChain xmlns="http://schemas.openxmlformats.org/spreadsheetml/2006/main">
  <c r="C8" i="10" l="1"/>
  <c r="C17" i="11"/>
  <c r="C8" i="11"/>
  <c r="C13" i="8"/>
  <c r="C29" i="12"/>
  <c r="C28" i="12"/>
  <c r="C8" i="12"/>
  <c r="C8" i="6"/>
  <c r="D12" i="6" s="1"/>
  <c r="C24" i="4"/>
  <c r="C8" i="4"/>
  <c r="C21" i="3"/>
  <c r="C20" i="3"/>
  <c r="C10" i="3"/>
  <c r="C29" i="2"/>
  <c r="C28" i="2"/>
  <c r="D8" i="2"/>
  <c r="C19" i="1"/>
  <c r="C8" i="1"/>
  <c r="C8" i="8"/>
  <c r="C27" i="12"/>
  <c r="D13" i="6" l="1"/>
  <c r="D11" i="6"/>
  <c r="E11" i="6" s="1"/>
  <c r="C14" i="5"/>
  <c r="C13" i="5"/>
  <c r="C9" i="5"/>
  <c r="C10" i="5" s="1"/>
  <c r="C11" i="5" s="1"/>
  <c r="C15" i="5" s="1"/>
  <c r="I23" i="12" l="1"/>
  <c r="M28" i="2" l="1"/>
  <c r="D25" i="2"/>
  <c r="D26" i="2" s="1"/>
  <c r="C32" i="12" l="1"/>
  <c r="F6" i="13"/>
  <c r="F9" i="13" s="1"/>
  <c r="F7" i="13"/>
  <c r="F10" i="13"/>
  <c r="E13" i="6"/>
  <c r="E12" i="6"/>
  <c r="C31" i="12"/>
  <c r="C18" i="11"/>
  <c r="C13" i="10"/>
  <c r="C12" i="10" s="1"/>
  <c r="C21" i="10"/>
  <c r="C14" i="8"/>
  <c r="C20" i="4"/>
  <c r="C25" i="4" s="1"/>
  <c r="C24" i="3"/>
  <c r="C23" i="3"/>
  <c r="C21" i="2"/>
  <c r="C20" i="1"/>
  <c r="C32" i="2" l="1"/>
  <c r="E21" i="2"/>
  <c r="C31" i="2"/>
</calcChain>
</file>

<file path=xl/sharedStrings.xml><?xml version="1.0" encoding="utf-8"?>
<sst xmlns="http://schemas.openxmlformats.org/spreadsheetml/2006/main" count="357" uniqueCount="177">
  <si>
    <t>GREEN ROOF</t>
  </si>
  <si>
    <t>Green Roof Area (SA)</t>
  </si>
  <si>
    <t>Media Depth (d)</t>
  </si>
  <si>
    <t>Drainage Layer Depth (DL)</t>
  </si>
  <si>
    <t>If unknown use 0.15</t>
  </si>
  <si>
    <t>Green Roof Receive 100% Retention Value</t>
  </si>
  <si>
    <t xml:space="preserve">Rv = </t>
  </si>
  <si>
    <t>BIORETENTION</t>
  </si>
  <si>
    <t>Max. Rv eligible for discount is Rv1.2"</t>
  </si>
  <si>
    <r>
      <t>Bottom Surface Area (SA</t>
    </r>
    <r>
      <rPr>
        <vertAlign val="subscript"/>
        <sz val="11"/>
        <color theme="1"/>
        <rFont val="Calibri"/>
        <family val="2"/>
        <scheme val="minor"/>
      </rPr>
      <t>bottom</t>
    </r>
    <r>
      <rPr>
        <sz val="11"/>
        <color theme="1"/>
        <rFont val="Calibri"/>
        <family val="2"/>
        <scheme val="minor"/>
      </rPr>
      <t>)</t>
    </r>
  </si>
  <si>
    <r>
      <t>Depth of Filter Media (d</t>
    </r>
    <r>
      <rPr>
        <vertAlign val="subscript"/>
        <sz val="11"/>
        <color theme="1"/>
        <rFont val="Calibri"/>
        <family val="2"/>
        <scheme val="minor"/>
      </rPr>
      <t>media</t>
    </r>
    <r>
      <rPr>
        <sz val="11"/>
        <color theme="1"/>
        <rFont val="Calibri"/>
        <family val="2"/>
        <scheme val="minor"/>
      </rPr>
      <t>)</t>
    </r>
  </si>
  <si>
    <r>
      <t>Filter Media Effective Porosity (ŋ</t>
    </r>
    <r>
      <rPr>
        <vertAlign val="subscript"/>
        <sz val="11"/>
        <color theme="1"/>
        <rFont val="Calibri"/>
        <family val="2"/>
        <scheme val="minor"/>
      </rPr>
      <t>media</t>
    </r>
    <r>
      <rPr>
        <sz val="11"/>
        <color theme="1"/>
        <rFont val="Calibri"/>
        <family val="2"/>
        <scheme val="minor"/>
      </rPr>
      <t>)</t>
    </r>
  </si>
  <si>
    <r>
      <t>Depth of Gravel Layer (d</t>
    </r>
    <r>
      <rPr>
        <vertAlign val="subscript"/>
        <sz val="11"/>
        <color theme="1"/>
        <rFont val="Calibri"/>
        <family val="2"/>
        <scheme val="minor"/>
      </rPr>
      <t>gravel</t>
    </r>
    <r>
      <rPr>
        <sz val="11"/>
        <color theme="1"/>
        <rFont val="Calibri"/>
        <family val="2"/>
        <scheme val="minor"/>
      </rPr>
      <t>)</t>
    </r>
  </si>
  <si>
    <r>
      <t>Gravel Layer Effective Porosity (ŋ</t>
    </r>
    <r>
      <rPr>
        <vertAlign val="subscript"/>
        <sz val="11"/>
        <color theme="1"/>
        <rFont val="Calibri"/>
        <family val="2"/>
        <scheme val="minor"/>
      </rPr>
      <t>gravel</t>
    </r>
    <r>
      <rPr>
        <sz val="11"/>
        <color theme="1"/>
        <rFont val="Calibri"/>
        <family val="2"/>
        <scheme val="minor"/>
      </rPr>
      <t>)</t>
    </r>
  </si>
  <si>
    <r>
      <t>Average Surface Area (SA</t>
    </r>
    <r>
      <rPr>
        <vertAlign val="subscript"/>
        <sz val="11"/>
        <color theme="1"/>
        <rFont val="Calibri"/>
        <family val="2"/>
        <scheme val="minor"/>
      </rPr>
      <t>average</t>
    </r>
    <r>
      <rPr>
        <sz val="11"/>
        <color theme="1"/>
        <rFont val="Calibri"/>
        <family val="2"/>
        <scheme val="minor"/>
      </rPr>
      <t>)</t>
    </r>
  </si>
  <si>
    <t>1/2x(top area+bottom area)</t>
  </si>
  <si>
    <r>
      <t>Max. Ponding Depth (d</t>
    </r>
    <r>
      <rPr>
        <vertAlign val="subscript"/>
        <sz val="11"/>
        <color theme="1"/>
        <rFont val="Calibri"/>
        <family val="2"/>
        <scheme val="minor"/>
      </rPr>
      <t>ponding</t>
    </r>
    <r>
      <rPr>
        <sz val="11"/>
        <color theme="1"/>
        <rFont val="Calibri"/>
        <family val="2"/>
        <scheme val="minor"/>
      </rPr>
      <t>)</t>
    </r>
  </si>
  <si>
    <t>ft</t>
  </si>
  <si>
    <r>
      <t>ft</t>
    </r>
    <r>
      <rPr>
        <vertAlign val="superscript"/>
        <sz val="11"/>
        <rFont val="Calibri"/>
        <family val="2"/>
        <scheme val="minor"/>
      </rPr>
      <t>2</t>
    </r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</si>
  <si>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</si>
  <si>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</si>
  <si>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t>in</t>
  </si>
  <si>
    <t>Standard BR</t>
  </si>
  <si>
    <t>Enhanced BR</t>
  </si>
  <si>
    <t>100% RV</t>
  </si>
  <si>
    <t>60% RV</t>
  </si>
  <si>
    <t>RV</t>
  </si>
  <si>
    <t>INFILTRATION BASINS/TRENCHES</t>
  </si>
  <si>
    <r>
      <t>Sv</t>
    </r>
    <r>
      <rPr>
        <vertAlign val="subscript"/>
        <sz val="12"/>
        <color theme="1"/>
        <rFont val="Times New Roman"/>
        <family val="1"/>
      </rPr>
      <t>b</t>
    </r>
    <r>
      <rPr>
        <sz val="12"/>
        <color theme="1"/>
        <rFont val="Times New Roman"/>
        <family val="1"/>
      </rPr>
      <t xml:space="preserve"> = SA X [d + (i/2 x t</t>
    </r>
    <r>
      <rPr>
        <vertAlign val="subscript"/>
        <sz val="12"/>
        <color theme="1"/>
        <rFont val="Times New Roman"/>
        <family val="1"/>
      </rPr>
      <t>f</t>
    </r>
    <r>
      <rPr>
        <sz val="12"/>
        <color theme="1"/>
        <rFont val="Times New Roman"/>
        <family val="1"/>
      </rPr>
      <t>)]</t>
    </r>
  </si>
  <si>
    <t>Surface Area (SA)</t>
  </si>
  <si>
    <t>Infiltration  Depth (d)</t>
  </si>
  <si>
    <t>ft/day</t>
  </si>
  <si>
    <t>days</t>
  </si>
  <si>
    <r>
      <t>Rv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</t>
    </r>
  </si>
  <si>
    <r>
      <t>Rv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</t>
    </r>
  </si>
  <si>
    <t>Time to fill( tf)</t>
  </si>
  <si>
    <t>DRY SWALE</t>
  </si>
  <si>
    <r>
      <t xml:space="preserve">RV </t>
    </r>
    <r>
      <rPr>
        <vertAlign val="subscript"/>
        <sz val="11"/>
        <color rgb="FFFF0000"/>
        <rFont val="Calibri"/>
        <family val="2"/>
        <scheme val="minor"/>
      </rPr>
      <t>dry swale</t>
    </r>
  </si>
  <si>
    <t>Infiltration Basin/Trench Receive 100% Retention Value</t>
  </si>
  <si>
    <t>RAINWATER HARVESTING</t>
  </si>
  <si>
    <t>Disconnection Types</t>
  </si>
  <si>
    <t>D-1 Pervious compacted cover area</t>
  </si>
  <si>
    <t>D-2 Conserved natural cover area</t>
  </si>
  <si>
    <t>D-3 Soil compost amended filter path</t>
  </si>
  <si>
    <r>
      <t>Receiving Area (ft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</si>
  <si>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PERMEABLE PAVEMENT</t>
  </si>
  <si>
    <t>Permable Pavement surface area (Ap)</t>
  </si>
  <si>
    <r>
      <t>Depth of reservious layer (d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)</t>
    </r>
  </si>
  <si>
    <t>If impermeable liner is used then i=0</t>
  </si>
  <si>
    <r>
      <t>Effective porosity (ŋ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</si>
  <si>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Stone porosity (ŋ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</si>
  <si>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t>Field verified infiltration rate (i)</t>
  </si>
  <si>
    <r>
      <t>Rv</t>
    </r>
    <r>
      <rPr>
        <sz val="11"/>
        <color theme="1"/>
        <rFont val="Calibri"/>
        <family val="2"/>
        <scheme val="minor"/>
      </rPr>
      <t xml:space="preserve"> = </t>
    </r>
  </si>
  <si>
    <r>
      <rPr>
        <sz val="12"/>
        <color theme="1"/>
        <rFont val="Calibri"/>
        <family val="2"/>
        <scheme val="minor"/>
      </rPr>
      <t xml:space="preserve">Sv </t>
    </r>
    <r>
      <rPr>
        <sz val="11"/>
        <color theme="1"/>
        <rFont val="Calibri"/>
        <family val="2"/>
        <scheme val="minor"/>
      </rPr>
      <t>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</si>
  <si>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 xml:space="preserve">STORMWATER POND/WETLAND </t>
  </si>
  <si>
    <t>Sv = Pond/wetland permanent pool volume</t>
  </si>
  <si>
    <t>TREE PLANTING AND PRESERVATION</t>
  </si>
  <si>
    <t>GRASS CHANNEL</t>
  </si>
  <si>
    <t>V = Q/(W*D)</t>
  </si>
  <si>
    <t xml:space="preserve">Storm peak flow rate (Q) </t>
  </si>
  <si>
    <t>cfs</t>
  </si>
  <si>
    <t>Chanel width (W)</t>
  </si>
  <si>
    <t>Flow depth (D)</t>
  </si>
  <si>
    <t>Q = CIA</t>
  </si>
  <si>
    <t>Runoff coefficien ( C )</t>
  </si>
  <si>
    <t>Rainfall intensity (I)</t>
  </si>
  <si>
    <t>Inch/Hr</t>
  </si>
  <si>
    <t>acre</t>
  </si>
  <si>
    <t>Pervious Area (Ap)</t>
  </si>
  <si>
    <t>Impervious Area (Ai)</t>
  </si>
  <si>
    <t>Total Drainage Area (A)</t>
  </si>
  <si>
    <t>ft/s</t>
  </si>
  <si>
    <t>Flow Velocity (V)</t>
  </si>
  <si>
    <t>Chanel slope (s)</t>
  </si>
  <si>
    <t>%</t>
  </si>
  <si>
    <t>Vegetation Type</t>
  </si>
  <si>
    <t>Refer to Table 3.38 of the Guide Book for the maximum velocity</t>
  </si>
  <si>
    <t>Soil type</t>
  </si>
  <si>
    <t>If the channel velocity is above the maximum velocity allowed in the Table 3.38</t>
  </si>
  <si>
    <t>The applicant has to improve the channel to decrease the velocity below erosive level</t>
  </si>
  <si>
    <t>0.1*"RV1.2"</t>
  </si>
  <si>
    <t>10% RV1.2</t>
  </si>
  <si>
    <t>If compost amendments used Rv=0.3*RV1.2"</t>
  </si>
  <si>
    <t>RV=</t>
  </si>
  <si>
    <t>30% RV1.2</t>
  </si>
  <si>
    <t>WET SWALE</t>
  </si>
  <si>
    <t>Sv = Pond permanent pool volume + 24-Hour ED Volume</t>
  </si>
  <si>
    <r>
      <t>Pond Permanent pool Volume (ft</t>
    </r>
    <r>
      <rPr>
        <vertAlign val="superscript"/>
        <sz val="11"/>
        <color theme="1"/>
        <rFont val="Cambria"/>
        <family val="1"/>
        <scheme val="major"/>
      </rPr>
      <t>3</t>
    </r>
    <r>
      <rPr>
        <sz val="11"/>
        <color theme="1"/>
        <rFont val="Calibri"/>
        <family val="2"/>
        <scheme val="minor"/>
      </rPr>
      <t>)</t>
    </r>
  </si>
  <si>
    <t>Max. Permanent ponding depth is 6"</t>
  </si>
  <si>
    <t>(Pond) Max. depth of the permanent pool should not generally exceed 8 ft unless the pond is designed for multiple uses.</t>
  </si>
  <si>
    <t>(Wetland) permanent pool (volume stored in deep pools and pool depths)</t>
  </si>
  <si>
    <r>
      <t>24-Hour ED Volume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</si>
  <si>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Max. 12" of temporary storage created by check dams or other design features that has 24hr extended detention</t>
  </si>
  <si>
    <t xml:space="preserve">Sv = </t>
  </si>
  <si>
    <t>gallons</t>
  </si>
  <si>
    <t>RvEnh=</t>
  </si>
  <si>
    <t>Rvstd=</t>
  </si>
  <si>
    <t>Standard Permable Pavement Receive 4.5CFRetention Value Per 100SF</t>
  </si>
  <si>
    <t>Enhanced Permable Pavement Receive 100% Retention Value</t>
  </si>
  <si>
    <t>Y</t>
  </si>
  <si>
    <t>N</t>
  </si>
  <si>
    <t>Underdrain?</t>
  </si>
  <si>
    <t>has water quality filter?</t>
  </si>
  <si>
    <t>Is the permeable pavement:           has an infiltration sump?</t>
  </si>
  <si>
    <t>STANDARD</t>
  </si>
  <si>
    <t>Y/N</t>
  </si>
  <si>
    <t>Download and complete the 2013 Rainwater Harvesting Retention Calculator from ddoe.dc.gov/RiverSmart-Rewards-Documents</t>
  </si>
  <si>
    <t>IMPERVIOUS SURFACE DISCONNECTION</t>
  </si>
  <si>
    <t xml:space="preserve">Rv Preserved Trees = </t>
  </si>
  <si>
    <t xml:space="preserve">Rv New Trees = </t>
  </si>
  <si>
    <t># of trees preserved during construction</t>
  </si>
  <si>
    <t># of newly planted trees</t>
  </si>
  <si>
    <r>
      <t>ft</t>
    </r>
    <r>
      <rPr>
        <vertAlign val="superscript"/>
        <sz val="12"/>
        <color theme="1"/>
        <rFont val="Times New Roman"/>
        <family val="1"/>
      </rPr>
      <t>3</t>
    </r>
  </si>
  <si>
    <r>
      <t>R</t>
    </r>
    <r>
      <rPr>
        <vertAlign val="subscript"/>
        <sz val="12"/>
        <color theme="1"/>
        <rFont val="Times New Roman"/>
        <family val="1"/>
      </rPr>
      <t xml:space="preserve">v </t>
    </r>
    <r>
      <rPr>
        <sz val="12"/>
        <color theme="1"/>
        <rFont val="Times New Roman"/>
        <family val="1"/>
      </rPr>
      <t>(ft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)</t>
    </r>
  </si>
  <si>
    <t>Is compost amendments used? (Y/N)</t>
  </si>
  <si>
    <t>0.3*"RV1.2"</t>
  </si>
  <si>
    <t>Infiltratable Volume</t>
  </si>
  <si>
    <t>Field verfied Infiltration rates (in/hr)</t>
  </si>
  <si>
    <t>in/hr</t>
  </si>
  <si>
    <t>Sump Design</t>
  </si>
  <si>
    <t>dsump</t>
  </si>
  <si>
    <t>dsump = (i/2*td)/(ŋr)</t>
  </si>
  <si>
    <t>*ENHANCED</t>
  </si>
  <si>
    <t>**ENHANCED AT SUMP</t>
  </si>
  <si>
    <t>* *Provide 100% retention value for only the storage within the sump</t>
  </si>
  <si>
    <t>*Infiltrate design storm volume in 48 hours</t>
  </si>
  <si>
    <t>48-hr draw dawn (td)</t>
  </si>
  <si>
    <t>td</t>
  </si>
  <si>
    <t>CF</t>
  </si>
  <si>
    <t>and a minimum caliper size of 1.5 inches- Bare root trees or seedlings don’t qualify</t>
  </si>
  <si>
    <t>New Tree</t>
  </si>
  <si>
    <t>Existing Tree</t>
  </si>
  <si>
    <t>Preserved trees must be a species with an average mature spread of at least 35 feet. (additional requirement -Table 3.52)</t>
  </si>
  <si>
    <r>
      <rPr>
        <sz val="12"/>
        <color theme="1"/>
        <rFont val="Calibri"/>
        <family val="2"/>
        <scheme val="minor"/>
      </rPr>
      <t xml:space="preserve">Sv </t>
    </r>
    <r>
      <rPr>
        <sz val="11"/>
        <color theme="1"/>
        <rFont val="Calibri"/>
        <family val="2"/>
        <scheme val="minor"/>
      </rPr>
      <t>= Storage Volume</t>
    </r>
  </si>
  <si>
    <r>
      <rPr>
        <sz val="12"/>
        <color theme="1"/>
        <rFont val="Calibri"/>
        <family val="2"/>
        <scheme val="minor"/>
      </rPr>
      <t xml:space="preserve">Sv </t>
    </r>
    <r>
      <rPr>
        <sz val="11"/>
        <color theme="1"/>
        <rFont val="Calibri"/>
        <family val="2"/>
        <scheme val="minor"/>
      </rPr>
      <t>= Storage Volume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</si>
  <si>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Impervious Contributing Drainage Area</t>
  </si>
  <si>
    <t>Rainwater Harvesting Retention Value</t>
  </si>
  <si>
    <t>Rain Barrel Size</t>
  </si>
  <si>
    <t>Irrigation Area</t>
  </si>
  <si>
    <t>Max Runoff 1.7-inch storm (cubic feet)</t>
  </si>
  <si>
    <t>Retention Volume (runoff * Retention value)</t>
  </si>
  <si>
    <t>Retention Volume (gal)</t>
  </si>
  <si>
    <t>Cap at size of rain barrel</t>
  </si>
  <si>
    <t>Cap at 1.2 inch storm</t>
  </si>
  <si>
    <t>Final Retention Volume (gal)</t>
  </si>
  <si>
    <t>In order to receive retention value, the tree species planted must have an average mature spread of at least 35 feet</t>
  </si>
  <si>
    <r>
      <t>Rv in 1.2 inch storm (ft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</si>
  <si>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Rv in 1.2 inch storm (gallons)</t>
  </si>
  <si>
    <t>Contributing Drainage Areas</t>
  </si>
  <si>
    <t>Compacted Cover</t>
  </si>
  <si>
    <t>Natural Cover</t>
  </si>
  <si>
    <r>
      <t>ft</t>
    </r>
    <r>
      <rPr>
        <vertAlign val="superscript"/>
        <sz val="11"/>
        <color theme="1"/>
        <rFont val="Times New Roman"/>
        <family val="1"/>
      </rPr>
      <t>2</t>
    </r>
  </si>
  <si>
    <r>
      <t>Media Volume of Voids (ŋ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)</t>
    </r>
  </si>
  <si>
    <r>
      <t>Drainage Layer Volume of Voids ( ŋ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</si>
  <si>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r>
      <t>ft</t>
    </r>
    <r>
      <rPr>
        <vertAlign val="superscript"/>
        <sz val="11"/>
        <color theme="1"/>
        <rFont val="Times New Roman"/>
        <family val="1"/>
      </rPr>
      <t>3</t>
    </r>
  </si>
  <si>
    <r>
      <t>Sv = SA X [(d x ŋ</t>
    </r>
    <r>
      <rPr>
        <b/>
        <vertAlign val="subscript"/>
        <sz val="11"/>
        <color theme="1"/>
        <rFont val="Times New Roman"/>
        <family val="1"/>
      </rPr>
      <t>1</t>
    </r>
    <r>
      <rPr>
        <b/>
        <sz val="11"/>
        <color theme="1"/>
        <rFont val="Times New Roman"/>
        <family val="1"/>
      </rPr>
      <t>) + (DL x ŋ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)]/12</t>
    </r>
  </si>
  <si>
    <t>Sv = Storage Volume</t>
  </si>
  <si>
    <r>
      <t>Bottom Surface Area (SA</t>
    </r>
    <r>
      <rPr>
        <vertAlign val="subscript"/>
        <sz val="11"/>
        <color theme="1"/>
        <rFont val="Times New Roman"/>
        <family val="1"/>
      </rPr>
      <t>bottom</t>
    </r>
    <r>
      <rPr>
        <sz val="11"/>
        <color theme="1"/>
        <rFont val="Times New Roman"/>
        <family val="1"/>
      </rPr>
      <t>)</t>
    </r>
  </si>
  <si>
    <r>
      <t>ft</t>
    </r>
    <r>
      <rPr>
        <vertAlign val="superscript"/>
        <sz val="11"/>
        <rFont val="Times New Roman"/>
        <family val="1"/>
      </rPr>
      <t>2</t>
    </r>
  </si>
  <si>
    <r>
      <t>Depth of Filter Media (d</t>
    </r>
    <r>
      <rPr>
        <vertAlign val="subscript"/>
        <sz val="11"/>
        <color theme="1"/>
        <rFont val="Times New Roman"/>
        <family val="1"/>
      </rPr>
      <t>media</t>
    </r>
    <r>
      <rPr>
        <sz val="11"/>
        <color theme="1"/>
        <rFont val="Times New Roman"/>
        <family val="1"/>
      </rPr>
      <t>)</t>
    </r>
  </si>
  <si>
    <r>
      <t>Filter Media Effective Porosity (ŋ</t>
    </r>
    <r>
      <rPr>
        <vertAlign val="subscript"/>
        <sz val="11"/>
        <color theme="1"/>
        <rFont val="Times New Roman"/>
        <family val="1"/>
      </rPr>
      <t>media</t>
    </r>
    <r>
      <rPr>
        <sz val="11"/>
        <color theme="1"/>
        <rFont val="Times New Roman"/>
        <family val="1"/>
      </rPr>
      <t>)</t>
    </r>
  </si>
  <si>
    <r>
      <t>Depth of Gravel Layer (d</t>
    </r>
    <r>
      <rPr>
        <vertAlign val="subscript"/>
        <sz val="11"/>
        <color theme="1"/>
        <rFont val="Times New Roman"/>
        <family val="1"/>
      </rPr>
      <t>gravel</t>
    </r>
    <r>
      <rPr>
        <sz val="11"/>
        <color theme="1"/>
        <rFont val="Times New Roman"/>
        <family val="1"/>
      </rPr>
      <t>)</t>
    </r>
  </si>
  <si>
    <r>
      <t>Gravel Layer Effective Porosity (ŋ</t>
    </r>
    <r>
      <rPr>
        <vertAlign val="subscript"/>
        <sz val="11"/>
        <color theme="1"/>
        <rFont val="Times New Roman"/>
        <family val="1"/>
      </rPr>
      <t>gravel</t>
    </r>
    <r>
      <rPr>
        <sz val="11"/>
        <color theme="1"/>
        <rFont val="Times New Roman"/>
        <family val="1"/>
      </rPr>
      <t>)</t>
    </r>
  </si>
  <si>
    <r>
      <t>Average Surface Area (SA</t>
    </r>
    <r>
      <rPr>
        <vertAlign val="subscript"/>
        <sz val="11"/>
        <color theme="1"/>
        <rFont val="Times New Roman"/>
        <family val="1"/>
      </rPr>
      <t>average</t>
    </r>
    <r>
      <rPr>
        <sz val="11"/>
        <color theme="1"/>
        <rFont val="Times New Roman"/>
        <family val="1"/>
      </rPr>
      <t>)</t>
    </r>
  </si>
  <si>
    <r>
      <t>Max. Ponding Depth (d</t>
    </r>
    <r>
      <rPr>
        <vertAlign val="subscript"/>
        <sz val="11"/>
        <color theme="1"/>
        <rFont val="Times New Roman"/>
        <family val="1"/>
      </rPr>
      <t>ponding</t>
    </r>
    <r>
      <rPr>
        <sz val="11"/>
        <color theme="1"/>
        <rFont val="Times New Roman"/>
        <family val="1"/>
      </rPr>
      <t>)</t>
    </r>
  </si>
  <si>
    <r>
      <t xml:space="preserve">Underdrain </t>
    </r>
    <r>
      <rPr>
        <b/>
        <sz val="11"/>
        <color rgb="FFFF0000"/>
        <rFont val="Times New Roman"/>
        <family val="1"/>
      </rPr>
      <t>+</t>
    </r>
    <r>
      <rPr>
        <sz val="11"/>
        <color theme="1"/>
        <rFont val="Times New Roman"/>
        <family val="1"/>
      </rPr>
      <t xml:space="preserve"> &lt; 24" filter media</t>
    </r>
  </si>
  <si>
    <r>
      <t xml:space="preserve">Infiltrate in 72hr </t>
    </r>
    <r>
      <rPr>
        <b/>
        <sz val="11"/>
        <color rgb="FFFF0000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Underdrain </t>
    </r>
    <r>
      <rPr>
        <b/>
        <sz val="11"/>
        <color rgb="FFFF0000"/>
        <rFont val="Times New Roman"/>
        <family val="1"/>
      </rPr>
      <t>+</t>
    </r>
    <r>
      <rPr>
        <sz val="11"/>
        <color theme="1"/>
        <rFont val="Times New Roman"/>
        <family val="1"/>
      </rPr>
      <t xml:space="preserve"> 24" filter media</t>
    </r>
    <r>
      <rPr>
        <b/>
        <sz val="11"/>
        <color rgb="FFFF0000"/>
        <rFont val="Times New Roman"/>
        <family val="1"/>
      </rPr>
      <t xml:space="preserve"> +</t>
    </r>
    <r>
      <rPr>
        <sz val="11"/>
        <color theme="1"/>
        <rFont val="Times New Roman"/>
        <family val="1"/>
      </rPr>
      <t xml:space="preserve"> Sump</t>
    </r>
  </si>
  <si>
    <r>
      <t xml:space="preserve">RV </t>
    </r>
    <r>
      <rPr>
        <vertAlign val="subscript"/>
        <sz val="11"/>
        <color rgb="FFFF0000"/>
        <rFont val="Times New Roman"/>
        <family val="1"/>
      </rPr>
      <t>Standard</t>
    </r>
  </si>
  <si>
    <r>
      <t>RV</t>
    </r>
    <r>
      <rPr>
        <vertAlign val="subscript"/>
        <sz val="11"/>
        <color rgb="FFFF0000"/>
        <rFont val="Times New Roman"/>
        <family val="1"/>
      </rPr>
      <t>Enhanced</t>
    </r>
  </si>
  <si>
    <r>
      <t>Sv = SA</t>
    </r>
    <r>
      <rPr>
        <vertAlign val="subscript"/>
        <sz val="11"/>
        <color theme="1"/>
        <rFont val="Times New Roman"/>
        <family val="1"/>
      </rPr>
      <t>bottom</t>
    </r>
    <r>
      <rPr>
        <sz val="11"/>
        <color theme="1"/>
        <rFont val="Times New Roman"/>
        <family val="1"/>
      </rPr>
      <t xml:space="preserve"> x [(d</t>
    </r>
    <r>
      <rPr>
        <vertAlign val="subscript"/>
        <sz val="11"/>
        <color theme="1"/>
        <rFont val="Times New Roman"/>
        <family val="1"/>
      </rPr>
      <t>media</t>
    </r>
    <r>
      <rPr>
        <sz val="11"/>
        <color theme="1"/>
        <rFont val="Times New Roman"/>
        <family val="1"/>
      </rPr>
      <t xml:space="preserve"> x ŋ</t>
    </r>
    <r>
      <rPr>
        <vertAlign val="subscript"/>
        <sz val="11"/>
        <color theme="1"/>
        <rFont val="Times New Roman"/>
        <family val="1"/>
      </rPr>
      <t>media</t>
    </r>
    <r>
      <rPr>
        <sz val="11"/>
        <color theme="1"/>
        <rFont val="Times New Roman"/>
        <family val="1"/>
      </rPr>
      <t>) + (d</t>
    </r>
    <r>
      <rPr>
        <vertAlign val="subscript"/>
        <sz val="11"/>
        <color theme="1"/>
        <rFont val="Times New Roman"/>
        <family val="1"/>
      </rPr>
      <t>gravel</t>
    </r>
    <r>
      <rPr>
        <sz val="11"/>
        <color theme="1"/>
        <rFont val="Times New Roman"/>
        <family val="1"/>
      </rPr>
      <t xml:space="preserve"> x ŋ</t>
    </r>
    <r>
      <rPr>
        <vertAlign val="subscript"/>
        <sz val="11"/>
        <color theme="1"/>
        <rFont val="Times New Roman"/>
        <family val="1"/>
      </rPr>
      <t>gravel</t>
    </r>
    <r>
      <rPr>
        <sz val="11"/>
        <color theme="1"/>
        <rFont val="Times New Roman"/>
        <family val="1"/>
      </rPr>
      <t>)] + (SA</t>
    </r>
    <r>
      <rPr>
        <vertAlign val="subscript"/>
        <sz val="11"/>
        <color theme="1"/>
        <rFont val="Times New Roman"/>
        <family val="1"/>
      </rPr>
      <t xml:space="preserve">average </t>
    </r>
    <r>
      <rPr>
        <sz val="11"/>
        <color theme="1"/>
        <rFont val="Times New Roman"/>
        <family val="1"/>
      </rPr>
      <t>x d</t>
    </r>
    <r>
      <rPr>
        <vertAlign val="subscript"/>
        <sz val="11"/>
        <color theme="1"/>
        <rFont val="Times New Roman"/>
        <family val="1"/>
      </rPr>
      <t xml:space="preserve">ponding </t>
    </r>
    <r>
      <rPr>
        <sz val="11"/>
        <color theme="1"/>
        <rFont val="Times New Roman"/>
        <family val="1"/>
      </rPr>
      <t>)</t>
    </r>
  </si>
  <si>
    <r>
      <t>Sv</t>
    </r>
    <r>
      <rPr>
        <b/>
        <vertAlign val="subscript"/>
        <sz val="12"/>
        <color theme="1"/>
        <rFont val="Times New Roman"/>
        <family val="1"/>
      </rPr>
      <t>t</t>
    </r>
    <r>
      <rPr>
        <b/>
        <sz val="12"/>
        <color theme="1"/>
        <rFont val="Times New Roman"/>
        <family val="1"/>
      </rPr>
      <t xml:space="preserve"> = SA X [(d* ŋ</t>
    </r>
    <r>
      <rPr>
        <b/>
        <vertAlign val="subscript"/>
        <sz val="12"/>
        <color theme="1"/>
        <rFont val="Times New Roman"/>
        <family val="1"/>
      </rPr>
      <t>r</t>
    </r>
    <r>
      <rPr>
        <b/>
        <sz val="12"/>
        <color theme="1"/>
        <rFont val="Times New Roman"/>
        <family val="1"/>
      </rPr>
      <t>) + (i/2 x t</t>
    </r>
    <r>
      <rPr>
        <b/>
        <vertAlign val="subscript"/>
        <sz val="12"/>
        <color theme="1"/>
        <rFont val="Times New Roman"/>
        <family val="1"/>
      </rPr>
      <t>f</t>
    </r>
    <r>
      <rPr>
        <b/>
        <sz val="12"/>
        <color theme="1"/>
        <rFont val="Times New Roman"/>
        <family val="1"/>
      </rPr>
      <t>)]</t>
    </r>
  </si>
  <si>
    <t>sq ft</t>
  </si>
  <si>
    <r>
      <t>Sv = SA</t>
    </r>
    <r>
      <rPr>
        <b/>
        <vertAlign val="subscript"/>
        <sz val="12"/>
        <color theme="1"/>
        <rFont val="Times New Roman"/>
        <family val="1"/>
      </rPr>
      <t>bottom</t>
    </r>
    <r>
      <rPr>
        <b/>
        <sz val="12"/>
        <color theme="1"/>
        <rFont val="Times New Roman"/>
        <family val="1"/>
      </rPr>
      <t xml:space="preserve"> x [(d</t>
    </r>
    <r>
      <rPr>
        <b/>
        <vertAlign val="subscript"/>
        <sz val="12"/>
        <color theme="1"/>
        <rFont val="Times New Roman"/>
        <family val="1"/>
      </rPr>
      <t>media</t>
    </r>
    <r>
      <rPr>
        <b/>
        <sz val="12"/>
        <color theme="1"/>
        <rFont val="Times New Roman"/>
        <family val="1"/>
      </rPr>
      <t xml:space="preserve"> x ŋ</t>
    </r>
    <r>
      <rPr>
        <b/>
        <vertAlign val="subscript"/>
        <sz val="12"/>
        <color theme="1"/>
        <rFont val="Times New Roman"/>
        <family val="1"/>
      </rPr>
      <t>media</t>
    </r>
    <r>
      <rPr>
        <b/>
        <sz val="12"/>
        <color theme="1"/>
        <rFont val="Times New Roman"/>
        <family val="1"/>
      </rPr>
      <t>) + (d</t>
    </r>
    <r>
      <rPr>
        <b/>
        <vertAlign val="subscript"/>
        <sz val="12"/>
        <color theme="1"/>
        <rFont val="Times New Roman"/>
        <family val="1"/>
      </rPr>
      <t>gravel</t>
    </r>
    <r>
      <rPr>
        <b/>
        <sz val="12"/>
        <color theme="1"/>
        <rFont val="Times New Roman"/>
        <family val="1"/>
      </rPr>
      <t xml:space="preserve"> x ŋ</t>
    </r>
    <r>
      <rPr>
        <b/>
        <vertAlign val="subscript"/>
        <sz val="12"/>
        <color theme="1"/>
        <rFont val="Times New Roman"/>
        <family val="1"/>
      </rPr>
      <t>gravel</t>
    </r>
    <r>
      <rPr>
        <b/>
        <sz val="12"/>
        <color theme="1"/>
        <rFont val="Times New Roman"/>
        <family val="1"/>
      </rPr>
      <t>)] + (SA</t>
    </r>
    <r>
      <rPr>
        <b/>
        <vertAlign val="subscript"/>
        <sz val="12"/>
        <color theme="1"/>
        <rFont val="Times New Roman"/>
        <family val="1"/>
      </rPr>
      <t xml:space="preserve">average </t>
    </r>
    <r>
      <rPr>
        <b/>
        <sz val="12"/>
        <color theme="1"/>
        <rFont val="Times New Roman"/>
        <family val="1"/>
      </rPr>
      <t>x d</t>
    </r>
    <r>
      <rPr>
        <b/>
        <vertAlign val="subscript"/>
        <sz val="12"/>
        <color theme="1"/>
        <rFont val="Times New Roman"/>
        <family val="1"/>
      </rPr>
      <t xml:space="preserve">ponding </t>
    </r>
    <r>
      <rPr>
        <b/>
        <sz val="12"/>
        <color theme="1"/>
        <rFont val="Times New Roman"/>
        <family val="1"/>
      </rPr>
      <t>)</t>
    </r>
  </si>
  <si>
    <r>
      <t>Sv =Ap[(d</t>
    </r>
    <r>
      <rPr>
        <b/>
        <vertAlign val="subscript"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 xml:space="preserve"> x ŋ</t>
    </r>
    <r>
      <rPr>
        <b/>
        <vertAlign val="subscript"/>
        <sz val="12"/>
        <color theme="1"/>
        <rFont val="Times New Roman"/>
        <family val="1"/>
      </rPr>
      <t>r</t>
    </r>
    <r>
      <rPr>
        <b/>
        <sz val="12"/>
        <color theme="1"/>
        <rFont val="Times New Roman"/>
        <family val="1"/>
      </rPr>
      <t>) + (i/2 x t</t>
    </r>
    <r>
      <rPr>
        <b/>
        <vertAlign val="subscript"/>
        <sz val="12"/>
        <color theme="1"/>
        <rFont val="Times New Roman"/>
        <family val="1"/>
      </rPr>
      <t>f</t>
    </r>
    <r>
      <rPr>
        <b/>
        <sz val="12"/>
        <color theme="1"/>
        <rFont val="Times New Roman"/>
        <family val="1"/>
      </rPr>
      <t>)]</t>
    </r>
  </si>
  <si>
    <t>Impervoius Cover</t>
  </si>
  <si>
    <t>BMP Cover</t>
  </si>
  <si>
    <t>Runoff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</si>
</sst>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vertAlign val="superscript"/>
      <sz val="11"/>
      <color theme="1"/>
      <name val="Cambria"/>
      <family val="1"/>
      <scheme val="major"/>
    </font>
    <font>
      <vertAlign val="superscript"/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2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vertAlign val="subscript"/>
      <sz val="11"/>
      <color theme="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color rgb="FFFF0000"/>
      <name val="Times New Roman"/>
      <family val="1"/>
    </font>
    <font>
      <vertAlign val="subscript"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/>
    <xf numFmtId="0" fontId="0" fillId="0" borderId="0" xfId="0" applyAlignment="1">
      <alignment horizontal="right"/>
    </xf>
    <xf numFmtId="0" fontId="3" fillId="0" borderId="0" xfId="0" applyFont="1" applyAlignment="1"/>
    <xf numFmtId="0" fontId="0" fillId="0" borderId="0" xfId="0" applyAlignment="1">
      <alignment horizontal="left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/>
    <xf numFmtId="0" fontId="6" fillId="0" borderId="0" xfId="0" applyFont="1" applyAlignment="1"/>
    <xf numFmtId="0" fontId="1" fillId="0" borderId="0" xfId="0" applyFont="1" applyFill="1"/>
    <xf numFmtId="2" fontId="0" fillId="0" borderId="0" xfId="0" applyNumberFormat="1"/>
    <xf numFmtId="0" fontId="0" fillId="2" borderId="0" xfId="0" applyFill="1" applyAlignment="1"/>
    <xf numFmtId="2" fontId="0" fillId="0" borderId="0" xfId="0" applyNumberFormat="1" applyAlignment="1"/>
    <xf numFmtId="0" fontId="0" fillId="0" borderId="0" xfId="0" applyFill="1" applyAlignment="1"/>
    <xf numFmtId="2" fontId="0" fillId="2" borderId="0" xfId="0" applyNumberForma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13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Fill="1"/>
    <xf numFmtId="0" fontId="13" fillId="0" borderId="0" xfId="0" applyFont="1" applyFill="1"/>
    <xf numFmtId="0" fontId="13" fillId="2" borderId="0" xfId="0" applyFont="1" applyFill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9" fillId="0" borderId="0" xfId="0" applyFont="1"/>
    <xf numFmtId="0" fontId="7" fillId="0" borderId="0" xfId="0" applyFont="1" applyAlignment="1"/>
    <xf numFmtId="0" fontId="7" fillId="0" borderId="0" xfId="0" applyFont="1"/>
    <xf numFmtId="2" fontId="7" fillId="2" borderId="0" xfId="0" applyNumberFormat="1" applyFont="1" applyFill="1"/>
    <xf numFmtId="0" fontId="1" fillId="0" borderId="0" xfId="0" applyFont="1" applyAlignment="1"/>
    <xf numFmtId="9" fontId="7" fillId="2" borderId="0" xfId="1" applyFont="1" applyFill="1" applyAlignment="1"/>
    <xf numFmtId="0" fontId="7" fillId="2" borderId="0" xfId="0" applyFont="1" applyFill="1" applyAlignment="1"/>
    <xf numFmtId="1" fontId="7" fillId="3" borderId="0" xfId="0" applyNumberFormat="1" applyFont="1" applyFill="1" applyAlignment="1"/>
    <xf numFmtId="0" fontId="7" fillId="3" borderId="0" xfId="0" applyFont="1" applyFill="1" applyAlignment="1"/>
    <xf numFmtId="0" fontId="21" fillId="3" borderId="0" xfId="0" applyFont="1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3" fillId="0" borderId="0" xfId="0" applyFont="1" applyBorder="1"/>
    <xf numFmtId="0" fontId="23" fillId="0" borderId="0" xfId="0" applyFont="1" applyBorder="1" applyAlignment="1">
      <alignment horizontal="left"/>
    </xf>
    <xf numFmtId="0" fontId="23" fillId="2" borderId="0" xfId="0" applyFont="1" applyFill="1" applyBorder="1"/>
    <xf numFmtId="0" fontId="23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3" fillId="0" borderId="0" xfId="0" applyFont="1"/>
    <xf numFmtId="0" fontId="23" fillId="0" borderId="0" xfId="0" applyFont="1" applyAlignment="1"/>
    <xf numFmtId="0" fontId="26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2" borderId="0" xfId="0" applyFont="1" applyFill="1"/>
    <xf numFmtId="0" fontId="28" fillId="0" borderId="0" xfId="0" applyFont="1" applyAlignment="1">
      <alignment horizontal="left" vertical="center"/>
    </xf>
    <xf numFmtId="0" fontId="23" fillId="0" borderId="0" xfId="0" applyFont="1" applyFill="1"/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12" fontId="23" fillId="0" borderId="0" xfId="0" applyNumberFormat="1" applyFont="1"/>
    <xf numFmtId="0" fontId="15" fillId="0" borderId="0" xfId="0" applyFont="1" applyAlignment="1"/>
    <xf numFmtId="0" fontId="12" fillId="0" borderId="0" xfId="0" applyFont="1" applyAlignment="1"/>
    <xf numFmtId="0" fontId="10" fillId="0" borderId="0" xfId="0" applyFont="1"/>
    <xf numFmtId="0" fontId="23" fillId="0" borderId="0" xfId="0" applyFont="1" applyFill="1" applyBorder="1"/>
    <xf numFmtId="0" fontId="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right"/>
    </xf>
    <xf numFmtId="0" fontId="16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C8" sqref="C8"/>
    </sheetView>
  </sheetViews>
  <sheetFormatPr defaultColWidth="9.140625" defaultRowHeight="15" x14ac:dyDescent="0.25"/>
  <cols>
    <col min="1" max="1" width="16.28515625" style="64" customWidth="1"/>
    <col min="2" max="2" width="34.140625" style="64" bestFit="1" customWidth="1"/>
    <col min="3" max="16384" width="9.140625" style="64"/>
  </cols>
  <sheetData>
    <row r="1" spans="1:6" x14ac:dyDescent="0.25">
      <c r="A1" s="85" t="s">
        <v>0</v>
      </c>
      <c r="B1" s="85"/>
    </row>
    <row r="3" spans="1:6" ht="13.9" x14ac:dyDescent="0.25">
      <c r="A3" s="69" t="s">
        <v>148</v>
      </c>
    </row>
    <row r="4" spans="1:6" ht="13.9" x14ac:dyDescent="0.25">
      <c r="B4" s="64" t="s">
        <v>150</v>
      </c>
      <c r="C4" s="66"/>
      <c r="D4" s="64" t="s">
        <v>171</v>
      </c>
    </row>
    <row r="5" spans="1:6" ht="13.9" x14ac:dyDescent="0.25">
      <c r="B5" s="64" t="s">
        <v>149</v>
      </c>
      <c r="C5" s="66"/>
      <c r="D5" s="64" t="s">
        <v>171</v>
      </c>
    </row>
    <row r="6" spans="1:6" ht="13.9" x14ac:dyDescent="0.25">
      <c r="B6" s="64" t="s">
        <v>174</v>
      </c>
      <c r="C6" s="66"/>
      <c r="D6" s="64" t="s">
        <v>171</v>
      </c>
    </row>
    <row r="7" spans="1:6" ht="14.45" x14ac:dyDescent="0.3">
      <c r="A7"/>
      <c r="B7" s="84" t="s">
        <v>175</v>
      </c>
      <c r="C7" s="66"/>
      <c r="D7" s="64" t="s">
        <v>171</v>
      </c>
    </row>
    <row r="8" spans="1:6" ht="16.149999999999999" x14ac:dyDescent="0.3">
      <c r="A8"/>
      <c r="B8" s="84" t="s">
        <v>176</v>
      </c>
      <c r="C8" s="84">
        <f>1.2/12*((C4*0)+(C5*0.25)+(C6*0.95)+(C7*0.95))</f>
        <v>0</v>
      </c>
      <c r="D8" t="s">
        <v>19</v>
      </c>
    </row>
    <row r="10" spans="1:6" ht="17.25" x14ac:dyDescent="0.3">
      <c r="A10" s="85" t="s">
        <v>155</v>
      </c>
      <c r="B10" s="85"/>
      <c r="C10" s="85"/>
      <c r="D10" s="85"/>
    </row>
    <row r="11" spans="1:6" x14ac:dyDescent="0.25">
      <c r="B11" s="65" t="s">
        <v>156</v>
      </c>
    </row>
    <row r="12" spans="1:6" ht="18" x14ac:dyDescent="0.25">
      <c r="B12" s="65" t="s">
        <v>1</v>
      </c>
      <c r="C12" s="66"/>
      <c r="D12" s="64" t="s">
        <v>151</v>
      </c>
    </row>
    <row r="13" spans="1:6" x14ac:dyDescent="0.25">
      <c r="B13" s="65" t="s">
        <v>2</v>
      </c>
      <c r="C13" s="66"/>
      <c r="D13" s="64" t="s">
        <v>21</v>
      </c>
    </row>
    <row r="14" spans="1:6" x14ac:dyDescent="0.25">
      <c r="B14" s="65" t="s">
        <v>3</v>
      </c>
      <c r="C14" s="66"/>
      <c r="D14" s="64" t="s">
        <v>21</v>
      </c>
    </row>
    <row r="15" spans="1:6" ht="16.5" x14ac:dyDescent="0.3">
      <c r="B15" s="65" t="s">
        <v>152</v>
      </c>
      <c r="C15" s="66"/>
      <c r="D15" s="86" t="s">
        <v>4</v>
      </c>
      <c r="E15" s="86"/>
      <c r="F15" s="86"/>
    </row>
    <row r="16" spans="1:6" ht="16.5" x14ac:dyDescent="0.3">
      <c r="B16" s="65" t="s">
        <v>153</v>
      </c>
      <c r="C16" s="66"/>
      <c r="D16" s="86"/>
      <c r="E16" s="86"/>
      <c r="F16" s="86"/>
    </row>
    <row r="18" spans="1:7" x14ac:dyDescent="0.25">
      <c r="A18" s="85" t="s">
        <v>5</v>
      </c>
      <c r="B18" s="85"/>
      <c r="C18" s="85"/>
      <c r="D18" s="85"/>
    </row>
    <row r="19" spans="1:7" ht="18" x14ac:dyDescent="0.25">
      <c r="B19" s="67" t="s">
        <v>6</v>
      </c>
      <c r="C19" s="64">
        <f>MIN((1/12)*C12*((C13*C15)+(C14*C16)), C8)</f>
        <v>0</v>
      </c>
      <c r="D19" s="64" t="s">
        <v>154</v>
      </c>
      <c r="E19" s="68" t="s">
        <v>8</v>
      </c>
      <c r="F19" s="68"/>
      <c r="G19" s="68"/>
    </row>
    <row r="20" spans="1:7" x14ac:dyDescent="0.25">
      <c r="B20" s="67" t="s">
        <v>6</v>
      </c>
      <c r="C20" s="64">
        <f>C19*7.48</f>
        <v>0</v>
      </c>
      <c r="D20" s="64" t="s">
        <v>94</v>
      </c>
    </row>
  </sheetData>
  <mergeCells count="4">
    <mergeCell ref="A1:B1"/>
    <mergeCell ref="A10:D10"/>
    <mergeCell ref="D15:F16"/>
    <mergeCell ref="A18:D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C31" sqref="C31"/>
    </sheetView>
  </sheetViews>
  <sheetFormatPr defaultRowHeight="15" x14ac:dyDescent="0.25"/>
  <cols>
    <col min="2" max="2" width="34.28515625" bestFit="1" customWidth="1"/>
    <col min="10" max="10" width="24.140625" customWidth="1"/>
  </cols>
  <sheetData>
    <row r="1" spans="1:9" x14ac:dyDescent="0.25">
      <c r="A1" s="91" t="s">
        <v>57</v>
      </c>
      <c r="B1" s="91"/>
    </row>
    <row r="2" spans="1:9" x14ac:dyDescent="0.25">
      <c r="A2" s="11"/>
      <c r="B2" s="11"/>
    </row>
    <row r="3" spans="1:9" ht="14.45" x14ac:dyDescent="0.3">
      <c r="A3" s="69" t="s">
        <v>148</v>
      </c>
      <c r="B3" s="64"/>
      <c r="C3" s="64"/>
      <c r="D3" s="64"/>
    </row>
    <row r="4" spans="1:9" ht="14.45" x14ac:dyDescent="0.3">
      <c r="A4" s="64"/>
      <c r="B4" s="64" t="s">
        <v>150</v>
      </c>
      <c r="C4" s="66"/>
      <c r="D4" s="64" t="s">
        <v>171</v>
      </c>
    </row>
    <row r="5" spans="1:9" ht="14.45" x14ac:dyDescent="0.3">
      <c r="A5" s="64"/>
      <c r="B5" s="64" t="s">
        <v>149</v>
      </c>
      <c r="C5" s="66"/>
      <c r="D5" s="64" t="s">
        <v>171</v>
      </c>
    </row>
    <row r="6" spans="1:9" ht="14.45" x14ac:dyDescent="0.3">
      <c r="A6" s="64"/>
      <c r="B6" s="64" t="s">
        <v>174</v>
      </c>
      <c r="C6" s="66"/>
      <c r="D6" s="64" t="s">
        <v>171</v>
      </c>
    </row>
    <row r="7" spans="1:9" ht="14.45" x14ac:dyDescent="0.3">
      <c r="B7" s="84" t="s">
        <v>175</v>
      </c>
      <c r="C7" s="66"/>
      <c r="D7" s="64" t="s">
        <v>171</v>
      </c>
    </row>
    <row r="8" spans="1:9" ht="16.149999999999999" x14ac:dyDescent="0.3">
      <c r="B8" s="84" t="s">
        <v>176</v>
      </c>
      <c r="C8" s="84">
        <f>1.2/12*((C4*0)+(C5*0.25)+(C6*0.95)+(C7*0.95))</f>
        <v>0</v>
      </c>
      <c r="D8" t="s">
        <v>19</v>
      </c>
    </row>
    <row r="9" spans="1:9" ht="14.45" x14ac:dyDescent="0.3">
      <c r="A9" s="63"/>
      <c r="B9" s="63"/>
    </row>
    <row r="10" spans="1:9" ht="14.45" x14ac:dyDescent="0.3">
      <c r="A10" s="63"/>
      <c r="B10" s="63"/>
    </row>
    <row r="11" spans="1:9" ht="15.75" x14ac:dyDescent="0.25">
      <c r="A11" s="5" t="s">
        <v>63</v>
      </c>
      <c r="B11" s="3"/>
      <c r="C11" s="3"/>
      <c r="D11" s="3"/>
      <c r="H11" s="10"/>
      <c r="I11" s="12"/>
    </row>
    <row r="12" spans="1:9" ht="15.6" customHeight="1" x14ac:dyDescent="0.25">
      <c r="A12" s="5"/>
      <c r="B12" s="56" t="s">
        <v>59</v>
      </c>
      <c r="C12" s="20">
        <f>C13*C14*C15</f>
        <v>4.7249999999999996</v>
      </c>
      <c r="D12" s="3" t="s">
        <v>60</v>
      </c>
      <c r="H12" s="10"/>
      <c r="I12" s="12"/>
    </row>
    <row r="13" spans="1:9" ht="15.75" x14ac:dyDescent="0.25">
      <c r="A13" s="5"/>
      <c r="B13" s="12" t="s">
        <v>64</v>
      </c>
      <c r="C13" s="3">
        <f>((0.35*(C16))+(0.9*(C17)))/(C16+C17)</f>
        <v>0.625</v>
      </c>
      <c r="D13" s="3"/>
      <c r="H13" s="10"/>
      <c r="I13" s="12"/>
    </row>
    <row r="14" spans="1:9" ht="15.75" x14ac:dyDescent="0.25">
      <c r="A14" s="5"/>
      <c r="B14" s="3" t="s">
        <v>65</v>
      </c>
      <c r="C14" s="3">
        <v>7.56</v>
      </c>
      <c r="D14" s="3" t="s">
        <v>66</v>
      </c>
      <c r="H14" s="10"/>
      <c r="I14" s="12"/>
    </row>
    <row r="15" spans="1:9" ht="15.75" x14ac:dyDescent="0.25">
      <c r="A15" s="5"/>
      <c r="B15" s="3" t="s">
        <v>70</v>
      </c>
      <c r="C15" s="19">
        <v>1</v>
      </c>
      <c r="D15" t="s">
        <v>67</v>
      </c>
      <c r="H15" s="10"/>
      <c r="I15" s="12"/>
    </row>
    <row r="16" spans="1:9" ht="15.75" x14ac:dyDescent="0.25">
      <c r="A16" s="5"/>
      <c r="B16" s="4" t="s">
        <v>68</v>
      </c>
      <c r="C16" s="19">
        <v>1</v>
      </c>
      <c r="D16" t="s">
        <v>67</v>
      </c>
      <c r="H16" s="10"/>
      <c r="I16" s="12"/>
    </row>
    <row r="17" spans="1:16" ht="15.75" x14ac:dyDescent="0.25">
      <c r="A17" s="5"/>
      <c r="B17" s="4" t="s">
        <v>69</v>
      </c>
      <c r="C17" s="19">
        <v>1</v>
      </c>
      <c r="D17" t="s">
        <v>67</v>
      </c>
      <c r="H17" s="10"/>
      <c r="I17" s="12"/>
    </row>
    <row r="18" spans="1:16" ht="15.75" x14ac:dyDescent="0.25">
      <c r="A18" s="5"/>
      <c r="B18" s="3"/>
      <c r="C18" s="21"/>
      <c r="H18" s="10"/>
      <c r="I18" s="12"/>
    </row>
    <row r="19" spans="1:16" ht="15.75" x14ac:dyDescent="0.25">
      <c r="A19" s="5"/>
      <c r="B19" s="3"/>
      <c r="C19" s="21"/>
      <c r="H19" s="10"/>
      <c r="I19" s="12"/>
    </row>
    <row r="20" spans="1:16" ht="15.75" x14ac:dyDescent="0.25">
      <c r="A20" s="5" t="s">
        <v>58</v>
      </c>
      <c r="B20" s="3"/>
      <c r="C20" s="3"/>
      <c r="D20" s="3"/>
      <c r="H20" s="10"/>
      <c r="I20" s="12"/>
    </row>
    <row r="21" spans="1:16" ht="15.6" customHeight="1" x14ac:dyDescent="0.25">
      <c r="B21" s="62" t="s">
        <v>72</v>
      </c>
      <c r="C21" s="18">
        <f>(C22)/(C23*C24)</f>
        <v>1</v>
      </c>
      <c r="D21" t="s">
        <v>71</v>
      </c>
      <c r="E21" s="56" t="s">
        <v>76</v>
      </c>
      <c r="F21" s="56"/>
      <c r="G21" s="56"/>
      <c r="H21" s="56"/>
      <c r="I21" s="56"/>
    </row>
    <row r="22" spans="1:16" x14ac:dyDescent="0.25">
      <c r="B22" s="56" t="s">
        <v>59</v>
      </c>
      <c r="C22" s="22">
        <v>1</v>
      </c>
      <c r="D22" s="9" t="s">
        <v>60</v>
      </c>
      <c r="E22" s="3" t="s">
        <v>78</v>
      </c>
      <c r="G22" s="3"/>
      <c r="H22" s="3"/>
      <c r="I22" s="3"/>
    </row>
    <row r="23" spans="1:16" x14ac:dyDescent="0.25">
      <c r="B23" s="56" t="s">
        <v>61</v>
      </c>
      <c r="C23" s="2">
        <v>1</v>
      </c>
      <c r="D23" t="s">
        <v>17</v>
      </c>
      <c r="E23" s="57" t="s">
        <v>79</v>
      </c>
      <c r="F23" s="57"/>
      <c r="G23" s="57"/>
      <c r="H23" s="57"/>
      <c r="I23" s="57"/>
      <c r="K23" s="57"/>
      <c r="L23" s="57"/>
      <c r="M23" s="57"/>
      <c r="N23" s="57"/>
      <c r="P23" s="12"/>
    </row>
    <row r="24" spans="1:16" x14ac:dyDescent="0.25">
      <c r="B24" s="56" t="s">
        <v>62</v>
      </c>
      <c r="C24" s="2">
        <v>1</v>
      </c>
      <c r="D24" t="s">
        <v>17</v>
      </c>
    </row>
    <row r="25" spans="1:16" x14ac:dyDescent="0.25">
      <c r="B25" s="56" t="s">
        <v>73</v>
      </c>
      <c r="C25" s="2">
        <v>1</v>
      </c>
      <c r="D25" t="s">
        <v>74</v>
      </c>
    </row>
    <row r="26" spans="1:16" x14ac:dyDescent="0.25">
      <c r="B26" s="56" t="s">
        <v>75</v>
      </c>
      <c r="C26" s="61"/>
      <c r="D26" s="60"/>
      <c r="E26" s="60"/>
      <c r="F26" s="41"/>
      <c r="G26" s="7"/>
    </row>
    <row r="27" spans="1:16" x14ac:dyDescent="0.25">
      <c r="B27" s="56" t="s">
        <v>77</v>
      </c>
      <c r="C27" s="61"/>
      <c r="D27" s="60"/>
      <c r="E27" s="60"/>
      <c r="F27" s="60"/>
      <c r="G27" s="60"/>
    </row>
    <row r="28" spans="1:16" x14ac:dyDescent="0.25">
      <c r="B28" s="56" t="s">
        <v>114</v>
      </c>
      <c r="C28" s="2"/>
    </row>
    <row r="29" spans="1:16" x14ac:dyDescent="0.25">
      <c r="B29" s="12"/>
      <c r="C29" s="7"/>
    </row>
    <row r="30" spans="1:16" x14ac:dyDescent="0.25">
      <c r="A30" s="13"/>
      <c r="B30" s="13"/>
      <c r="C30" s="13"/>
      <c r="D30" s="13"/>
    </row>
    <row r="31" spans="1:16" ht="17.25" x14ac:dyDescent="0.25">
      <c r="B31" s="4" t="s">
        <v>83</v>
      </c>
      <c r="C31" t="s">
        <v>80</v>
      </c>
      <c r="D31" t="s">
        <v>19</v>
      </c>
      <c r="E31" s="10" t="s">
        <v>81</v>
      </c>
      <c r="F31" s="14"/>
      <c r="G31" s="14"/>
    </row>
    <row r="32" spans="1:16" x14ac:dyDescent="0.25">
      <c r="C32" s="95" t="s">
        <v>8</v>
      </c>
      <c r="D32" s="95"/>
      <c r="E32" s="95"/>
      <c r="F32" s="95"/>
      <c r="G32" s="12"/>
      <c r="H32" s="12"/>
      <c r="I32" s="12"/>
    </row>
    <row r="33" spans="1:5" x14ac:dyDescent="0.25">
      <c r="A33" s="3"/>
      <c r="B33" s="95" t="s">
        <v>82</v>
      </c>
      <c r="C33" s="95"/>
      <c r="D33" s="95"/>
      <c r="E33" s="95"/>
    </row>
    <row r="34" spans="1:5" ht="17.25" x14ac:dyDescent="0.25">
      <c r="B34" s="4" t="s">
        <v>83</v>
      </c>
      <c r="C34" t="s">
        <v>115</v>
      </c>
      <c r="D34" t="s">
        <v>19</v>
      </c>
      <c r="E34" s="10" t="s">
        <v>84</v>
      </c>
    </row>
  </sheetData>
  <mergeCells count="3">
    <mergeCell ref="B33:E33"/>
    <mergeCell ref="C32:F32"/>
    <mergeCell ref="A1:B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G20" sqref="G20"/>
    </sheetView>
  </sheetViews>
  <sheetFormatPr defaultColWidth="9.140625" defaultRowHeight="15.75" x14ac:dyDescent="0.25"/>
  <cols>
    <col min="1" max="1" width="14.140625" style="33" customWidth="1"/>
    <col min="2" max="4" width="9.140625" style="33"/>
    <col min="5" max="5" width="17.85546875" style="33" bestFit="1" customWidth="1"/>
    <col min="6" max="10" width="9.140625" style="33"/>
    <col min="11" max="11" width="15.85546875" style="33" customWidth="1"/>
    <col min="12" max="16384" width="9.140625" style="33"/>
  </cols>
  <sheetData>
    <row r="1" spans="1:11" ht="15.6" x14ac:dyDescent="0.3">
      <c r="A1" s="96" t="s">
        <v>56</v>
      </c>
      <c r="B1" s="96"/>
      <c r="C1" s="96"/>
      <c r="D1" s="96"/>
      <c r="E1" s="96"/>
    </row>
    <row r="2" spans="1:11" ht="19.899999999999999" x14ac:dyDescent="0.4">
      <c r="F2" s="33" t="s">
        <v>113</v>
      </c>
    </row>
    <row r="3" spans="1:11" ht="15.6" x14ac:dyDescent="0.3">
      <c r="A3" s="106" t="s">
        <v>111</v>
      </c>
      <c r="B3" s="106"/>
      <c r="C3" s="106"/>
      <c r="D3" s="106"/>
      <c r="E3" s="106"/>
      <c r="F3" s="37">
        <v>0</v>
      </c>
      <c r="G3" s="32"/>
      <c r="H3" s="32"/>
      <c r="I3" s="32"/>
      <c r="J3" s="32"/>
    </row>
    <row r="4" spans="1:11" ht="15.6" x14ac:dyDescent="0.3">
      <c r="A4" s="106" t="s">
        <v>110</v>
      </c>
      <c r="B4" s="106"/>
      <c r="C4" s="106"/>
      <c r="D4" s="106"/>
      <c r="E4" s="106"/>
      <c r="F4" s="37">
        <v>0</v>
      </c>
      <c r="H4" s="98" t="s">
        <v>8</v>
      </c>
      <c r="I4" s="98"/>
      <c r="J4" s="98"/>
      <c r="K4" s="98"/>
    </row>
    <row r="5" spans="1:11" ht="15.6" x14ac:dyDescent="0.3">
      <c r="A5" s="32"/>
      <c r="J5" s="32"/>
    </row>
    <row r="6" spans="1:11" ht="18.600000000000001" x14ac:dyDescent="0.3">
      <c r="C6" s="32"/>
      <c r="E6" s="34" t="s">
        <v>109</v>
      </c>
      <c r="F6" s="33">
        <f>F3*10</f>
        <v>0</v>
      </c>
      <c r="G6" s="33" t="s">
        <v>112</v>
      </c>
      <c r="H6" s="32"/>
      <c r="I6" s="32"/>
      <c r="J6" s="32"/>
    </row>
    <row r="7" spans="1:11" ht="18.600000000000001" x14ac:dyDescent="0.3">
      <c r="C7" s="32"/>
      <c r="E7" s="34" t="s">
        <v>108</v>
      </c>
      <c r="F7" s="33">
        <f>F4*20</f>
        <v>0</v>
      </c>
      <c r="G7" s="33" t="s">
        <v>112</v>
      </c>
    </row>
    <row r="8" spans="1:11" ht="15.6" x14ac:dyDescent="0.3">
      <c r="C8" s="98"/>
      <c r="D8" s="98"/>
      <c r="E8" s="36"/>
      <c r="F8" s="32"/>
      <c r="G8" s="32"/>
      <c r="H8" s="32"/>
      <c r="I8" s="32"/>
      <c r="J8" s="32"/>
    </row>
    <row r="9" spans="1:11" ht="15.6" x14ac:dyDescent="0.3">
      <c r="D9" s="105" t="s">
        <v>109</v>
      </c>
      <c r="E9" s="105"/>
      <c r="F9" s="35">
        <f>F6*7.48</f>
        <v>0</v>
      </c>
      <c r="G9" s="33" t="s">
        <v>94</v>
      </c>
    </row>
    <row r="10" spans="1:11" ht="15.6" x14ac:dyDescent="0.3">
      <c r="D10" s="105" t="s">
        <v>108</v>
      </c>
      <c r="E10" s="105"/>
      <c r="F10" s="35">
        <f>F7*7.48</f>
        <v>0</v>
      </c>
      <c r="G10" s="33" t="s">
        <v>94</v>
      </c>
    </row>
    <row r="12" spans="1:11" ht="15.6" x14ac:dyDescent="0.3">
      <c r="A12" s="46" t="s">
        <v>130</v>
      </c>
      <c r="B12" s="95" t="s">
        <v>145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1:11" x14ac:dyDescent="0.25">
      <c r="B13" s="95" t="s">
        <v>129</v>
      </c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15.6" x14ac:dyDescent="0.3">
      <c r="A14" s="46" t="s">
        <v>131</v>
      </c>
      <c r="B14" s="95" t="s">
        <v>132</v>
      </c>
      <c r="C14" s="95"/>
      <c r="D14" s="95"/>
      <c r="E14" s="95"/>
      <c r="F14" s="95"/>
      <c r="G14" s="95"/>
      <c r="H14" s="95"/>
      <c r="I14" s="95"/>
      <c r="J14" s="95"/>
      <c r="K14" s="95"/>
    </row>
    <row r="25" ht="13.5" customHeight="1" x14ac:dyDescent="0.25"/>
  </sheetData>
  <mergeCells count="10">
    <mergeCell ref="B12:K12"/>
    <mergeCell ref="B13:K13"/>
    <mergeCell ref="B14:K14"/>
    <mergeCell ref="D10:E10"/>
    <mergeCell ref="A1:E1"/>
    <mergeCell ref="A4:E4"/>
    <mergeCell ref="H4:K4"/>
    <mergeCell ref="C8:D8"/>
    <mergeCell ref="A3:E3"/>
    <mergeCell ref="D9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B3" sqref="B3:E8"/>
    </sheetView>
  </sheetViews>
  <sheetFormatPr defaultColWidth="9.140625" defaultRowHeight="15" x14ac:dyDescent="0.25"/>
  <cols>
    <col min="1" max="1" width="9.140625" style="70"/>
    <col min="2" max="2" width="18" style="70" bestFit="1" customWidth="1"/>
    <col min="3" max="3" width="27" style="70" customWidth="1"/>
    <col min="4" max="16384" width="9.140625" style="70"/>
  </cols>
  <sheetData>
    <row r="1" spans="1:17" x14ac:dyDescent="0.25">
      <c r="A1" s="91" t="s">
        <v>7</v>
      </c>
      <c r="B1" s="91"/>
      <c r="C1" s="91"/>
    </row>
    <row r="3" spans="1:17" ht="13.9" x14ac:dyDescent="0.25">
      <c r="B3" s="69" t="s">
        <v>148</v>
      </c>
      <c r="C3" s="64"/>
      <c r="D3" s="64"/>
      <c r="E3" s="64"/>
    </row>
    <row r="4" spans="1:17" ht="13.9" x14ac:dyDescent="0.25">
      <c r="B4" s="64"/>
      <c r="C4" s="64" t="s">
        <v>150</v>
      </c>
      <c r="D4" s="66"/>
      <c r="E4" s="64" t="s">
        <v>171</v>
      </c>
    </row>
    <row r="5" spans="1:17" ht="13.9" x14ac:dyDescent="0.25">
      <c r="B5" s="64"/>
      <c r="C5" s="64" t="s">
        <v>149</v>
      </c>
      <c r="D5" s="66"/>
      <c r="E5" s="64" t="s">
        <v>171</v>
      </c>
    </row>
    <row r="6" spans="1:17" ht="13.9" x14ac:dyDescent="0.25">
      <c r="B6" s="64"/>
      <c r="C6" s="64" t="s">
        <v>174</v>
      </c>
      <c r="D6" s="66"/>
      <c r="E6" s="64" t="s">
        <v>171</v>
      </c>
    </row>
    <row r="7" spans="1:17" ht="14.45" x14ac:dyDescent="0.3">
      <c r="B7"/>
      <c r="C7" s="84" t="s">
        <v>175</v>
      </c>
      <c r="D7" s="66"/>
      <c r="E7" s="64" t="s">
        <v>171</v>
      </c>
    </row>
    <row r="8" spans="1:17" ht="16.149999999999999" x14ac:dyDescent="0.3">
      <c r="B8"/>
      <c r="C8" s="84" t="s">
        <v>176</v>
      </c>
      <c r="D8" s="84">
        <f>1.2/12*((D4*0)+(D5*0.25)+(D6*0.95)+(D7*0.95))</f>
        <v>0</v>
      </c>
      <c r="E8" t="s">
        <v>19</v>
      </c>
    </row>
    <row r="10" spans="1:17" ht="16.5" x14ac:dyDescent="0.3">
      <c r="A10" s="71" t="s">
        <v>169</v>
      </c>
      <c r="B10" s="71"/>
      <c r="C10" s="71"/>
      <c r="D10" s="71"/>
      <c r="E10" s="71"/>
      <c r="I10" s="72"/>
      <c r="J10" s="73"/>
      <c r="K10" s="73"/>
      <c r="L10" s="74"/>
      <c r="M10" s="74"/>
      <c r="N10" s="74"/>
    </row>
    <row r="11" spans="1:17" x14ac:dyDescent="0.25">
      <c r="B11" s="88" t="s">
        <v>156</v>
      </c>
      <c r="C11" s="88"/>
      <c r="I11" s="72"/>
      <c r="J11" s="73"/>
      <c r="K11" s="73"/>
      <c r="L11" s="73"/>
      <c r="M11" s="73"/>
      <c r="N11" s="73"/>
      <c r="O11" s="73"/>
      <c r="P11" s="73"/>
      <c r="Q11" s="73"/>
    </row>
    <row r="12" spans="1:17" ht="18" x14ac:dyDescent="0.3">
      <c r="B12" s="88" t="s">
        <v>157</v>
      </c>
      <c r="C12" s="88"/>
      <c r="D12" s="75"/>
      <c r="E12" s="76" t="s">
        <v>158</v>
      </c>
    </row>
    <row r="13" spans="1:17" ht="16.5" x14ac:dyDescent="0.3">
      <c r="B13" s="88" t="s">
        <v>159</v>
      </c>
      <c r="C13" s="88"/>
      <c r="D13" s="75"/>
      <c r="E13" s="70" t="s">
        <v>17</v>
      </c>
    </row>
    <row r="14" spans="1:17" ht="16.5" x14ac:dyDescent="0.3">
      <c r="B14" s="88" t="s">
        <v>160</v>
      </c>
      <c r="C14" s="88"/>
      <c r="D14" s="77">
        <v>0.25</v>
      </c>
    </row>
    <row r="15" spans="1:17" ht="16.5" x14ac:dyDescent="0.3">
      <c r="B15" s="88" t="s">
        <v>161</v>
      </c>
      <c r="C15" s="88"/>
      <c r="D15" s="75"/>
      <c r="E15" s="70" t="s">
        <v>17</v>
      </c>
    </row>
    <row r="16" spans="1:17" ht="16.5" x14ac:dyDescent="0.3">
      <c r="B16" s="88" t="s">
        <v>162</v>
      </c>
      <c r="C16" s="88"/>
      <c r="D16" s="77">
        <v>0.4</v>
      </c>
      <c r="E16" s="78"/>
      <c r="F16" s="78"/>
      <c r="G16" s="78"/>
    </row>
    <row r="17" spans="1:15" ht="18" x14ac:dyDescent="0.3">
      <c r="B17" s="88" t="s">
        <v>163</v>
      </c>
      <c r="C17" s="88"/>
      <c r="D17" s="75"/>
      <c r="E17" s="76" t="s">
        <v>158</v>
      </c>
      <c r="F17" s="89" t="s">
        <v>15</v>
      </c>
      <c r="G17" s="89"/>
      <c r="H17" s="89"/>
    </row>
    <row r="18" spans="1:15" ht="16.5" x14ac:dyDescent="0.3">
      <c r="B18" s="88" t="s">
        <v>164</v>
      </c>
      <c r="C18" s="88"/>
      <c r="D18" s="75"/>
      <c r="E18" s="70" t="s">
        <v>17</v>
      </c>
    </row>
    <row r="19" spans="1:15" x14ac:dyDescent="0.25">
      <c r="B19" s="88" t="s">
        <v>117</v>
      </c>
      <c r="C19" s="88"/>
      <c r="D19" s="75"/>
      <c r="E19" s="70" t="s">
        <v>118</v>
      </c>
    </row>
    <row r="20" spans="1:15" x14ac:dyDescent="0.25">
      <c r="A20" s="74"/>
      <c r="B20" s="74"/>
      <c r="C20" s="74"/>
      <c r="D20" s="74"/>
      <c r="E20" s="74"/>
    </row>
    <row r="21" spans="1:15" ht="18" x14ac:dyDescent="0.25">
      <c r="B21" s="79" t="s">
        <v>26</v>
      </c>
      <c r="C21" s="70">
        <f>D12*((D13*D14)+(D15*D16))+(D17*D18)</f>
        <v>0</v>
      </c>
      <c r="D21" s="70" t="s">
        <v>154</v>
      </c>
      <c r="E21" s="90">
        <f xml:space="preserve"> C21*7.48052</f>
        <v>0</v>
      </c>
      <c r="F21" s="90"/>
      <c r="G21" s="90"/>
      <c r="H21" s="90"/>
    </row>
    <row r="23" spans="1:15" x14ac:dyDescent="0.25">
      <c r="B23" s="72" t="s">
        <v>25</v>
      </c>
      <c r="C23" s="73" t="s">
        <v>22</v>
      </c>
      <c r="D23" s="88" t="s">
        <v>165</v>
      </c>
      <c r="E23" s="88"/>
      <c r="F23" s="88"/>
      <c r="G23" s="88"/>
      <c r="H23" s="88"/>
      <c r="I23" s="88"/>
      <c r="J23" s="73"/>
    </row>
    <row r="24" spans="1:15" x14ac:dyDescent="0.25">
      <c r="B24" s="72" t="s">
        <v>24</v>
      </c>
      <c r="C24" s="73" t="s">
        <v>23</v>
      </c>
      <c r="D24" s="88" t="s">
        <v>166</v>
      </c>
      <c r="E24" s="88"/>
      <c r="F24" s="88"/>
      <c r="G24" s="88"/>
      <c r="H24" s="88"/>
      <c r="I24" s="88"/>
      <c r="J24" s="88"/>
      <c r="L24" s="70" t="s">
        <v>119</v>
      </c>
    </row>
    <row r="25" spans="1:15" x14ac:dyDescent="0.25">
      <c r="B25" s="70" t="s">
        <v>116</v>
      </c>
      <c r="C25" s="73"/>
      <c r="D25" s="73">
        <f>1/12*(D12*(0.5*D19)*(72))</f>
        <v>0</v>
      </c>
      <c r="E25" s="73" t="s">
        <v>128</v>
      </c>
      <c r="F25" s="73"/>
      <c r="G25" s="73"/>
      <c r="H25" s="73"/>
      <c r="I25" s="73"/>
      <c r="J25" s="73"/>
    </row>
    <row r="26" spans="1:15" x14ac:dyDescent="0.25">
      <c r="B26" s="72"/>
      <c r="C26" s="73"/>
      <c r="D26" s="73">
        <f>D25*7.48</f>
        <v>0</v>
      </c>
      <c r="E26" s="73" t="s">
        <v>94</v>
      </c>
      <c r="F26" s="73"/>
      <c r="G26" s="73"/>
      <c r="H26" s="73"/>
      <c r="I26" s="73"/>
      <c r="J26" s="73"/>
      <c r="L26" s="88" t="s">
        <v>121</v>
      </c>
      <c r="M26" s="88"/>
      <c r="N26" s="88"/>
    </row>
    <row r="27" spans="1:15" x14ac:dyDescent="0.25">
      <c r="E27" s="87" t="s">
        <v>8</v>
      </c>
      <c r="F27" s="87"/>
      <c r="G27" s="87"/>
      <c r="H27" s="87"/>
      <c r="K27" s="80"/>
    </row>
    <row r="28" spans="1:15" ht="18.75" x14ac:dyDescent="0.3">
      <c r="B28" s="70" t="s">
        <v>167</v>
      </c>
      <c r="C28" s="70">
        <f>MIN(0.6*C21,D8)</f>
        <v>0</v>
      </c>
      <c r="D28" s="70" t="s">
        <v>154</v>
      </c>
      <c r="L28" s="70" t="s">
        <v>120</v>
      </c>
      <c r="M28" s="70">
        <f>1/0.4*(0.5*D19*72)</f>
        <v>0</v>
      </c>
    </row>
    <row r="29" spans="1:15" ht="18.75" x14ac:dyDescent="0.3">
      <c r="B29" s="70" t="s">
        <v>168</v>
      </c>
      <c r="C29" s="70">
        <f>MIN(1*C21,D8)</f>
        <v>0</v>
      </c>
      <c r="D29" s="70" t="s">
        <v>154</v>
      </c>
    </row>
    <row r="30" spans="1:15" x14ac:dyDescent="0.25">
      <c r="O30" s="80"/>
    </row>
    <row r="31" spans="1:15" ht="16.5" x14ac:dyDescent="0.3">
      <c r="B31" s="70" t="s">
        <v>167</v>
      </c>
      <c r="C31" s="70">
        <f>C28*7.48</f>
        <v>0</v>
      </c>
      <c r="D31" s="70" t="s">
        <v>94</v>
      </c>
    </row>
    <row r="32" spans="1:15" ht="16.5" x14ac:dyDescent="0.3">
      <c r="B32" s="70" t="s">
        <v>168</v>
      </c>
      <c r="C32" s="70">
        <f>C29*7.48</f>
        <v>0</v>
      </c>
      <c r="D32" s="70" t="s">
        <v>94</v>
      </c>
    </row>
    <row r="34" spans="1:3" x14ac:dyDescent="0.25">
      <c r="A34" s="69"/>
      <c r="B34" s="64"/>
      <c r="C34" s="64"/>
    </row>
    <row r="35" spans="1:3" x14ac:dyDescent="0.25">
      <c r="A35" s="69"/>
      <c r="B35" s="64"/>
      <c r="C35" s="64"/>
    </row>
  </sheetData>
  <mergeCells count="16">
    <mergeCell ref="L26:N26"/>
    <mergeCell ref="A1:C1"/>
    <mergeCell ref="B11:C11"/>
    <mergeCell ref="B12:C12"/>
    <mergeCell ref="B13:C13"/>
    <mergeCell ref="B14:C14"/>
    <mergeCell ref="E27:H27"/>
    <mergeCell ref="D24:J24"/>
    <mergeCell ref="D23:I23"/>
    <mergeCell ref="B15:C15"/>
    <mergeCell ref="F17:H17"/>
    <mergeCell ref="B18:C18"/>
    <mergeCell ref="B16:C16"/>
    <mergeCell ref="B17:C17"/>
    <mergeCell ref="E21:H21"/>
    <mergeCell ref="B19:C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4" workbookViewId="0">
      <selection activeCell="D10" sqref="A5:D10"/>
    </sheetView>
  </sheetViews>
  <sheetFormatPr defaultRowHeight="15" x14ac:dyDescent="0.25"/>
  <cols>
    <col min="2" max="2" width="30" bestFit="1" customWidth="1"/>
  </cols>
  <sheetData>
    <row r="1" spans="1:6" x14ac:dyDescent="0.25">
      <c r="A1" s="91" t="s">
        <v>27</v>
      </c>
      <c r="B1" s="91"/>
    </row>
    <row r="3" spans="1:6" ht="18.75" x14ac:dyDescent="0.35">
      <c r="A3" s="92" t="s">
        <v>28</v>
      </c>
      <c r="B3" s="93"/>
      <c r="C3" s="93"/>
      <c r="D3" s="93"/>
    </row>
    <row r="4" spans="1:6" ht="17.25" x14ac:dyDescent="0.3">
      <c r="A4" s="96" t="s">
        <v>170</v>
      </c>
      <c r="B4" s="94"/>
      <c r="C4" s="94"/>
      <c r="D4" s="94"/>
    </row>
    <row r="5" spans="1:6" ht="14.45" x14ac:dyDescent="0.3">
      <c r="A5" s="69" t="s">
        <v>148</v>
      </c>
      <c r="B5" s="64"/>
      <c r="C5" s="64"/>
      <c r="D5" s="64"/>
    </row>
    <row r="6" spans="1:6" ht="14.45" x14ac:dyDescent="0.3">
      <c r="A6" s="64"/>
      <c r="B6" s="64" t="s">
        <v>150</v>
      </c>
      <c r="C6" s="66"/>
      <c r="D6" s="64" t="s">
        <v>171</v>
      </c>
    </row>
    <row r="7" spans="1:6" ht="14.45" x14ac:dyDescent="0.3">
      <c r="A7" s="64"/>
      <c r="B7" s="64" t="s">
        <v>149</v>
      </c>
      <c r="C7" s="66"/>
      <c r="D7" s="64" t="s">
        <v>171</v>
      </c>
    </row>
    <row r="8" spans="1:6" ht="14.45" x14ac:dyDescent="0.3">
      <c r="A8" s="64"/>
      <c r="B8" s="64" t="s">
        <v>174</v>
      </c>
      <c r="C8" s="66"/>
      <c r="D8" s="64" t="s">
        <v>171</v>
      </c>
    </row>
    <row r="9" spans="1:6" ht="14.45" x14ac:dyDescent="0.3">
      <c r="B9" s="84" t="s">
        <v>175</v>
      </c>
      <c r="C9" s="66"/>
      <c r="D9" s="64" t="s">
        <v>171</v>
      </c>
    </row>
    <row r="10" spans="1:6" ht="16.149999999999999" x14ac:dyDescent="0.3">
      <c r="B10" s="84" t="s">
        <v>176</v>
      </c>
      <c r="C10" s="84">
        <f>1.2/12*((C6*0)+(C7*0.25)+(C8*0.95)+(C9*0.95))</f>
        <v>0</v>
      </c>
      <c r="D10" t="s">
        <v>19</v>
      </c>
    </row>
    <row r="11" spans="1:6" ht="14.45" x14ac:dyDescent="0.3">
      <c r="B11" s="84"/>
      <c r="C11" s="84"/>
    </row>
    <row r="12" spans="1:6" ht="16.149999999999999" customHeight="1" x14ac:dyDescent="0.25">
      <c r="B12" s="56" t="s">
        <v>134</v>
      </c>
    </row>
    <row r="13" spans="1:6" ht="17.25" x14ac:dyDescent="0.25">
      <c r="B13" s="56" t="s">
        <v>29</v>
      </c>
      <c r="C13" s="2"/>
      <c r="D13" t="s">
        <v>20</v>
      </c>
    </row>
    <row r="14" spans="1:6" x14ac:dyDescent="0.25">
      <c r="B14" s="56" t="s">
        <v>30</v>
      </c>
      <c r="C14" s="2"/>
      <c r="D14" t="s">
        <v>17</v>
      </c>
    </row>
    <row r="15" spans="1:6" x14ac:dyDescent="0.25">
      <c r="B15" s="56" t="s">
        <v>51</v>
      </c>
      <c r="C15" s="2"/>
      <c r="D15" t="s">
        <v>31</v>
      </c>
    </row>
    <row r="16" spans="1:6" ht="18" x14ac:dyDescent="0.35">
      <c r="B16" s="56" t="s">
        <v>50</v>
      </c>
      <c r="C16" s="7">
        <v>0.35</v>
      </c>
      <c r="D16" s="8"/>
      <c r="E16" s="8"/>
      <c r="F16" s="8"/>
    </row>
    <row r="17" spans="1:11" x14ac:dyDescent="0.25">
      <c r="B17" s="56" t="s">
        <v>35</v>
      </c>
      <c r="C17" s="2">
        <v>8.3000000000000004E-2</v>
      </c>
      <c r="D17" s="9" t="s">
        <v>32</v>
      </c>
      <c r="E17" s="8"/>
      <c r="F17" s="8"/>
    </row>
    <row r="19" spans="1:11" x14ac:dyDescent="0.25">
      <c r="A19" s="94" t="s">
        <v>38</v>
      </c>
      <c r="B19" s="94"/>
      <c r="C19" s="94"/>
      <c r="D19" s="94"/>
    </row>
    <row r="20" spans="1:11" ht="18.75" x14ac:dyDescent="0.35">
      <c r="B20" s="4" t="s">
        <v>33</v>
      </c>
      <c r="C20">
        <f>MIN(C13*(C14+(C15*0.5*C17)),C10)</f>
        <v>0</v>
      </c>
      <c r="D20" t="s">
        <v>19</v>
      </c>
      <c r="H20" s="95" t="s">
        <v>8</v>
      </c>
      <c r="I20" s="95"/>
      <c r="J20" s="95"/>
      <c r="K20" s="95"/>
    </row>
    <row r="21" spans="1:11" ht="18.75" x14ac:dyDescent="0.35">
      <c r="B21" s="4" t="s">
        <v>34</v>
      </c>
      <c r="C21">
        <f>MIN(C13*((C14*C16)+(C15*0.5*C17)), C10)</f>
        <v>0</v>
      </c>
      <c r="D21" t="s">
        <v>19</v>
      </c>
    </row>
    <row r="23" spans="1:11" ht="18" x14ac:dyDescent="0.35">
      <c r="B23" s="4" t="s">
        <v>33</v>
      </c>
      <c r="C23">
        <f>C20*7.48</f>
        <v>0</v>
      </c>
      <c r="D23" t="s">
        <v>94</v>
      </c>
    </row>
    <row r="24" spans="1:11" ht="18" x14ac:dyDescent="0.35">
      <c r="B24" s="4" t="s">
        <v>34</v>
      </c>
      <c r="C24">
        <f>C21*7.48</f>
        <v>0</v>
      </c>
      <c r="D24" t="s">
        <v>94</v>
      </c>
    </row>
  </sheetData>
  <mergeCells count="5">
    <mergeCell ref="A1:B1"/>
    <mergeCell ref="A3:D3"/>
    <mergeCell ref="A19:D19"/>
    <mergeCell ref="H20:K20"/>
    <mergeCell ref="A4:D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8" sqref="A3:D8"/>
    </sheetView>
  </sheetViews>
  <sheetFormatPr defaultRowHeight="15" x14ac:dyDescent="0.25"/>
  <cols>
    <col min="2" max="2" width="35.28515625" bestFit="1" customWidth="1"/>
  </cols>
  <sheetData>
    <row r="1" spans="1:9" x14ac:dyDescent="0.25">
      <c r="A1" s="91" t="s">
        <v>36</v>
      </c>
      <c r="B1" s="91"/>
    </row>
    <row r="3" spans="1:9" ht="14.45" x14ac:dyDescent="0.3">
      <c r="A3" s="69" t="s">
        <v>148</v>
      </c>
      <c r="B3" s="64"/>
      <c r="C3" s="64"/>
      <c r="D3" s="64"/>
    </row>
    <row r="4" spans="1:9" ht="14.45" x14ac:dyDescent="0.3">
      <c r="A4" s="64"/>
      <c r="B4" s="64" t="s">
        <v>150</v>
      </c>
      <c r="C4" s="66"/>
      <c r="D4" s="64" t="s">
        <v>171</v>
      </c>
    </row>
    <row r="5" spans="1:9" ht="14.45" x14ac:dyDescent="0.3">
      <c r="A5" s="64"/>
      <c r="B5" s="64" t="s">
        <v>149</v>
      </c>
      <c r="C5" s="66"/>
      <c r="D5" s="64" t="s">
        <v>171</v>
      </c>
    </row>
    <row r="6" spans="1:9" ht="14.45" x14ac:dyDescent="0.3">
      <c r="A6" s="64"/>
      <c r="B6" s="64" t="s">
        <v>174</v>
      </c>
      <c r="C6" s="66"/>
      <c r="D6" s="64" t="s">
        <v>171</v>
      </c>
    </row>
    <row r="7" spans="1:9" ht="14.45" x14ac:dyDescent="0.3">
      <c r="B7" s="84" t="s">
        <v>175</v>
      </c>
      <c r="C7" s="66"/>
      <c r="D7" s="64" t="s">
        <v>171</v>
      </c>
    </row>
    <row r="8" spans="1:9" ht="16.149999999999999" x14ac:dyDescent="0.3">
      <c r="B8" s="84" t="s">
        <v>176</v>
      </c>
      <c r="C8" s="84">
        <f>1.2/12*((C4*0)+(C5*0.25)+(C6*0.95)+(C7*0.95))</f>
        <v>0</v>
      </c>
      <c r="D8" t="s">
        <v>19</v>
      </c>
    </row>
    <row r="10" spans="1:9" s="15" customFormat="1" ht="17.25" x14ac:dyDescent="0.3">
      <c r="A10" s="81" t="s">
        <v>172</v>
      </c>
      <c r="B10" s="82"/>
      <c r="C10" s="82"/>
      <c r="D10" s="82"/>
      <c r="H10" s="83"/>
      <c r="I10" s="59"/>
    </row>
    <row r="11" spans="1:9" ht="15.6" customHeight="1" x14ac:dyDescent="0.25">
      <c r="B11" s="56" t="s">
        <v>133</v>
      </c>
      <c r="H11" s="10"/>
      <c r="I11" s="6"/>
    </row>
    <row r="12" spans="1:9" ht="18" x14ac:dyDescent="0.35">
      <c r="B12" s="56" t="s">
        <v>9</v>
      </c>
      <c r="C12" s="2"/>
      <c r="D12" s="9" t="s">
        <v>18</v>
      </c>
    </row>
    <row r="13" spans="1:9" ht="18" x14ac:dyDescent="0.35">
      <c r="B13" s="56" t="s">
        <v>10</v>
      </c>
      <c r="C13" s="2"/>
      <c r="D13" t="s">
        <v>17</v>
      </c>
    </row>
    <row r="14" spans="1:9" ht="18" x14ac:dyDescent="0.35">
      <c r="B14" s="56" t="s">
        <v>11</v>
      </c>
      <c r="C14" s="7">
        <v>0.25</v>
      </c>
    </row>
    <row r="15" spans="1:9" ht="18" x14ac:dyDescent="0.35">
      <c r="B15" s="56" t="s">
        <v>12</v>
      </c>
      <c r="C15" s="2"/>
      <c r="D15" t="s">
        <v>17</v>
      </c>
    </row>
    <row r="16" spans="1:9" ht="18" x14ac:dyDescent="0.35">
      <c r="B16" s="56" t="s">
        <v>13</v>
      </c>
      <c r="C16" s="7">
        <v>0.4</v>
      </c>
      <c r="D16" s="8"/>
      <c r="E16" s="8"/>
      <c r="F16" s="8"/>
    </row>
    <row r="17" spans="1:9" ht="18" x14ac:dyDescent="0.35">
      <c r="B17" s="56" t="s">
        <v>14</v>
      </c>
      <c r="C17" s="2"/>
      <c r="D17" s="9" t="s">
        <v>18</v>
      </c>
      <c r="E17" s="97" t="s">
        <v>15</v>
      </c>
      <c r="F17" s="97"/>
      <c r="G17" s="97"/>
    </row>
    <row r="18" spans="1:9" ht="18" x14ac:dyDescent="0.35">
      <c r="B18" s="56" t="s">
        <v>16</v>
      </c>
      <c r="C18" s="2"/>
      <c r="D18" t="s">
        <v>17</v>
      </c>
    </row>
    <row r="19" spans="1:9" x14ac:dyDescent="0.25">
      <c r="A19" s="1"/>
      <c r="B19" s="1"/>
      <c r="C19" s="1"/>
      <c r="D19" s="1"/>
    </row>
    <row r="20" spans="1:9" ht="16.149999999999999" customHeight="1" x14ac:dyDescent="0.25">
      <c r="B20" s="4" t="s">
        <v>26</v>
      </c>
      <c r="C20">
        <f>C12*((C13*C14)+(C15*C16))+(C17*C18)</f>
        <v>0</v>
      </c>
      <c r="D20" t="s">
        <v>19</v>
      </c>
      <c r="E20" s="58"/>
      <c r="F20" s="58"/>
      <c r="G20" s="58"/>
    </row>
    <row r="22" spans="1:9" x14ac:dyDescent="0.25">
      <c r="B22" s="10" t="s">
        <v>25</v>
      </c>
      <c r="C22" s="93"/>
      <c r="D22" s="93"/>
      <c r="E22" s="93"/>
      <c r="F22" s="93"/>
      <c r="G22" s="93"/>
      <c r="H22" s="93"/>
      <c r="I22" s="6"/>
    </row>
    <row r="23" spans="1:9" x14ac:dyDescent="0.25">
      <c r="B23" s="10"/>
      <c r="C23" s="93"/>
      <c r="D23" s="93"/>
      <c r="E23" s="93"/>
      <c r="F23" s="93"/>
      <c r="G23" s="93"/>
      <c r="H23" s="93"/>
      <c r="I23" s="93"/>
    </row>
    <row r="24" spans="1:9" ht="18.75" x14ac:dyDescent="0.35">
      <c r="B24" t="s">
        <v>37</v>
      </c>
      <c r="C24">
        <f>MIN(0.6*C20,C8)</f>
        <v>0</v>
      </c>
      <c r="D24" t="s">
        <v>19</v>
      </c>
      <c r="E24" s="95" t="s">
        <v>8</v>
      </c>
      <c r="F24" s="95"/>
      <c r="G24" s="95"/>
      <c r="H24" s="95"/>
    </row>
    <row r="25" spans="1:9" ht="18" x14ac:dyDescent="0.35">
      <c r="B25" t="s">
        <v>37</v>
      </c>
      <c r="C25">
        <f>C24*7.48</f>
        <v>0</v>
      </c>
      <c r="D25" t="s">
        <v>94</v>
      </c>
    </row>
  </sheetData>
  <mergeCells count="5">
    <mergeCell ref="A1:B1"/>
    <mergeCell ref="C23:I23"/>
    <mergeCell ref="E24:H24"/>
    <mergeCell ref="E17:G17"/>
    <mergeCell ref="C22:H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2" sqref="B22"/>
    </sheetView>
  </sheetViews>
  <sheetFormatPr defaultRowHeight="15" x14ac:dyDescent="0.25"/>
  <cols>
    <col min="2" max="2" width="41.7109375" bestFit="1" customWidth="1"/>
    <col min="3" max="3" width="10.5703125" bestFit="1" customWidth="1"/>
  </cols>
  <sheetData>
    <row r="1" spans="1:7" x14ac:dyDescent="0.25">
      <c r="A1" s="91" t="s">
        <v>39</v>
      </c>
      <c r="B1" s="91"/>
    </row>
    <row r="3" spans="1:7" ht="15.75" x14ac:dyDescent="0.25">
      <c r="A3" s="98" t="s">
        <v>106</v>
      </c>
      <c r="B3" s="95"/>
      <c r="C3" s="10"/>
      <c r="D3" s="10"/>
      <c r="E3" s="10"/>
      <c r="F3" s="10"/>
      <c r="G3" s="10"/>
    </row>
    <row r="4" spans="1:7" x14ac:dyDescent="0.25">
      <c r="A4" s="10"/>
      <c r="B4" s="57"/>
      <c r="C4" s="10"/>
      <c r="D4" s="10"/>
      <c r="E4" s="10"/>
      <c r="F4" s="10"/>
      <c r="G4" s="10"/>
    </row>
    <row r="5" spans="1:7" ht="17.25" x14ac:dyDescent="0.25">
      <c r="A5" s="10"/>
      <c r="B5" s="47" t="s">
        <v>135</v>
      </c>
      <c r="C5" s="49"/>
      <c r="D5" s="9" t="s">
        <v>18</v>
      </c>
      <c r="E5" s="10"/>
      <c r="F5" s="10"/>
      <c r="G5" s="10"/>
    </row>
    <row r="6" spans="1:7" x14ac:dyDescent="0.25">
      <c r="A6" s="50"/>
      <c r="B6" s="47" t="s">
        <v>136</v>
      </c>
      <c r="C6" s="51"/>
      <c r="D6" s="47" t="s">
        <v>74</v>
      </c>
      <c r="E6" s="50"/>
      <c r="F6" s="50"/>
      <c r="G6" s="10"/>
    </row>
    <row r="7" spans="1:7" x14ac:dyDescent="0.25">
      <c r="A7" s="50"/>
      <c r="B7" s="47" t="s">
        <v>137</v>
      </c>
      <c r="C7" s="52"/>
      <c r="D7" t="s">
        <v>94</v>
      </c>
      <c r="E7" s="50"/>
      <c r="F7" s="50"/>
      <c r="G7" s="10"/>
    </row>
    <row r="8" spans="1:7" ht="17.25" x14ac:dyDescent="0.25">
      <c r="A8" s="50"/>
      <c r="B8" s="47" t="s">
        <v>138</v>
      </c>
      <c r="C8" s="52"/>
      <c r="D8" s="9" t="s">
        <v>18</v>
      </c>
      <c r="E8" s="50"/>
      <c r="F8" s="50"/>
      <c r="G8" s="10"/>
    </row>
    <row r="9" spans="1:7" x14ac:dyDescent="0.25">
      <c r="A9" s="50"/>
      <c r="B9" s="47" t="s">
        <v>139</v>
      </c>
      <c r="C9" s="53">
        <f>C5*1.7*0.95/12</f>
        <v>0</v>
      </c>
      <c r="D9" s="47"/>
      <c r="E9" s="50"/>
      <c r="F9" s="50"/>
      <c r="G9" s="10"/>
    </row>
    <row r="10" spans="1:7" ht="17.25" x14ac:dyDescent="0.25">
      <c r="A10" s="50"/>
      <c r="B10" s="47" t="s">
        <v>140</v>
      </c>
      <c r="C10" s="54">
        <f>ROUND(C9*C6,0)</f>
        <v>0</v>
      </c>
      <c r="D10" t="s">
        <v>19</v>
      </c>
      <c r="E10" s="50"/>
      <c r="F10" s="50"/>
      <c r="G10" s="10"/>
    </row>
    <row r="11" spans="1:7" x14ac:dyDescent="0.25">
      <c r="A11" s="50"/>
      <c r="B11" s="47" t="s">
        <v>141</v>
      </c>
      <c r="C11" s="54">
        <f>C10*7.48</f>
        <v>0</v>
      </c>
      <c r="D11" s="47" t="s">
        <v>94</v>
      </c>
      <c r="E11" s="50"/>
      <c r="F11" s="50"/>
      <c r="G11" s="10"/>
    </row>
    <row r="12" spans="1:7" x14ac:dyDescent="0.25">
      <c r="A12" s="50"/>
      <c r="B12" s="47"/>
      <c r="C12" s="47"/>
      <c r="D12" s="47"/>
      <c r="E12" s="50"/>
      <c r="F12" s="50"/>
      <c r="G12" s="10"/>
    </row>
    <row r="13" spans="1:7" x14ac:dyDescent="0.25">
      <c r="A13" s="50"/>
      <c r="B13" s="47" t="s">
        <v>142</v>
      </c>
      <c r="C13" s="54">
        <f>C7</f>
        <v>0</v>
      </c>
      <c r="D13" s="47"/>
      <c r="E13" s="50"/>
      <c r="F13" s="50"/>
      <c r="G13" s="10"/>
    </row>
    <row r="14" spans="1:7" x14ac:dyDescent="0.25">
      <c r="A14" s="50"/>
      <c r="B14" s="47" t="s">
        <v>143</v>
      </c>
      <c r="C14" s="54">
        <f>ROUND(C5*1.2*0.95*7.48/12,0)</f>
        <v>0</v>
      </c>
      <c r="D14" s="47"/>
      <c r="E14" s="50"/>
      <c r="F14" s="50"/>
      <c r="G14" s="10"/>
    </row>
    <row r="15" spans="1:7" x14ac:dyDescent="0.25">
      <c r="A15" s="50"/>
      <c r="B15" s="47" t="s">
        <v>144</v>
      </c>
      <c r="C15" s="55">
        <f>MIN(C11,C13,C14)</f>
        <v>0</v>
      </c>
      <c r="D15" s="47"/>
      <c r="E15" s="50"/>
      <c r="F15" s="50"/>
    </row>
    <row r="16" spans="1:7" x14ac:dyDescent="0.25">
      <c r="A16" s="50"/>
      <c r="B16" s="47"/>
      <c r="C16" s="55"/>
      <c r="D16" s="47"/>
      <c r="E16" s="50"/>
      <c r="F16" s="50"/>
    </row>
    <row r="17" spans="2:4" x14ac:dyDescent="0.25">
      <c r="C17" s="48"/>
      <c r="D17" s="48"/>
    </row>
    <row r="18" spans="2:4" x14ac:dyDescent="0.25">
      <c r="B18" s="48"/>
      <c r="C18" s="48"/>
      <c r="D18" s="48"/>
    </row>
    <row r="19" spans="2:4" x14ac:dyDescent="0.25">
      <c r="B19" s="48"/>
      <c r="C19" s="48"/>
      <c r="D19" s="48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3" sqref="A3:D8"/>
    </sheetView>
  </sheetViews>
  <sheetFormatPr defaultRowHeight="15" x14ac:dyDescent="0.25"/>
  <cols>
    <col min="2" max="2" width="34.7109375" bestFit="1" customWidth="1"/>
    <col min="3" max="3" width="30" bestFit="1" customWidth="1"/>
    <col min="4" max="4" width="18.42578125" customWidth="1"/>
    <col min="5" max="5" width="21.5703125" bestFit="1" customWidth="1"/>
    <col min="6" max="6" width="26.7109375" bestFit="1" customWidth="1"/>
  </cols>
  <sheetData>
    <row r="1" spans="1:5" x14ac:dyDescent="0.25">
      <c r="A1" s="16" t="s">
        <v>107</v>
      </c>
      <c r="B1" s="16"/>
    </row>
    <row r="3" spans="1:5" ht="14.45" x14ac:dyDescent="0.3">
      <c r="A3" s="69" t="s">
        <v>148</v>
      </c>
      <c r="B3" s="64"/>
      <c r="C3" s="64"/>
      <c r="D3" s="64"/>
    </row>
    <row r="4" spans="1:5" ht="14.45" x14ac:dyDescent="0.3">
      <c r="A4" s="64"/>
      <c r="B4" s="64" t="s">
        <v>150</v>
      </c>
      <c r="C4" s="66"/>
      <c r="D4" s="64" t="s">
        <v>171</v>
      </c>
    </row>
    <row r="5" spans="1:5" ht="14.45" x14ac:dyDescent="0.3">
      <c r="A5" s="64"/>
      <c r="B5" s="64" t="s">
        <v>149</v>
      </c>
      <c r="C5" s="66"/>
      <c r="D5" s="64" t="s">
        <v>171</v>
      </c>
    </row>
    <row r="6" spans="1:5" ht="14.45" x14ac:dyDescent="0.3">
      <c r="A6" s="64"/>
      <c r="B6" s="64" t="s">
        <v>174</v>
      </c>
      <c r="C6" s="66"/>
      <c r="D6" s="64" t="s">
        <v>171</v>
      </c>
    </row>
    <row r="7" spans="1:5" ht="14.45" x14ac:dyDescent="0.3">
      <c r="B7" s="84" t="s">
        <v>175</v>
      </c>
      <c r="C7" s="66"/>
      <c r="D7" s="64" t="s">
        <v>171</v>
      </c>
    </row>
    <row r="8" spans="1:5" ht="16.149999999999999" x14ac:dyDescent="0.3">
      <c r="B8" s="84" t="s">
        <v>176</v>
      </c>
      <c r="C8" s="84">
        <f>1.2/12*((C4*0)+(C5*0.25)+(C6*0.95)+(C7*0.95))</f>
        <v>0</v>
      </c>
      <c r="D8" t="s">
        <v>19</v>
      </c>
    </row>
    <row r="9" spans="1:5" ht="14.45" x14ac:dyDescent="0.3">
      <c r="B9" s="84"/>
      <c r="C9" s="84"/>
    </row>
    <row r="10" spans="1:5" ht="16.149999999999999" x14ac:dyDescent="0.3">
      <c r="A10" s="96" t="s">
        <v>40</v>
      </c>
      <c r="B10" s="94"/>
      <c r="C10" s="15" t="s">
        <v>44</v>
      </c>
      <c r="D10" s="15" t="s">
        <v>146</v>
      </c>
      <c r="E10" s="15" t="s">
        <v>147</v>
      </c>
    </row>
    <row r="11" spans="1:5" ht="14.45" x14ac:dyDescent="0.3">
      <c r="B11" s="3" t="s">
        <v>41</v>
      </c>
      <c r="C11" s="2"/>
      <c r="D11">
        <f>MIN((2*C11/100),C8)</f>
        <v>0</v>
      </c>
      <c r="E11">
        <f>D11*7.48</f>
        <v>0</v>
      </c>
    </row>
    <row r="12" spans="1:5" ht="14.45" x14ac:dyDescent="0.3">
      <c r="B12" s="3" t="s">
        <v>42</v>
      </c>
      <c r="C12" s="2"/>
      <c r="D12">
        <f>MIN((2*C12/100),C8)</f>
        <v>0</v>
      </c>
      <c r="E12">
        <f t="shared" ref="E12:E13" si="0">D12*7.48</f>
        <v>0</v>
      </c>
    </row>
    <row r="13" spans="1:5" ht="14.45" x14ac:dyDescent="0.3">
      <c r="B13" s="3" t="s">
        <v>43</v>
      </c>
      <c r="C13" s="2"/>
      <c r="D13">
        <f>MIN((2*C13/100),C8)</f>
        <v>0</v>
      </c>
      <c r="E13">
        <f t="shared" si="0"/>
        <v>0</v>
      </c>
    </row>
    <row r="14" spans="1:5" ht="14.45" x14ac:dyDescent="0.3">
      <c r="B14" s="3"/>
    </row>
  </sheetData>
  <mergeCells count="1">
    <mergeCell ref="A10:B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7" workbookViewId="0">
      <selection activeCell="C30" sqref="C30"/>
    </sheetView>
  </sheetViews>
  <sheetFormatPr defaultRowHeight="15" x14ac:dyDescent="0.25"/>
  <cols>
    <col min="2" max="2" width="16.42578125" bestFit="1" customWidth="1"/>
    <col min="3" max="3" width="24.7109375" customWidth="1"/>
    <col min="5" max="5" width="10.7109375" customWidth="1"/>
    <col min="10" max="10" width="12.5703125" customWidth="1"/>
    <col min="12" max="12" width="10.5703125" customWidth="1"/>
  </cols>
  <sheetData>
    <row r="1" spans="1:7" ht="14.45" x14ac:dyDescent="0.3">
      <c r="A1" s="91" t="s">
        <v>45</v>
      </c>
      <c r="B1" s="91"/>
      <c r="C1" s="91"/>
      <c r="D1" s="91"/>
      <c r="E1" s="91"/>
    </row>
    <row r="3" spans="1:7" ht="14.45" x14ac:dyDescent="0.3">
      <c r="A3" s="69" t="s">
        <v>148</v>
      </c>
      <c r="B3" s="64"/>
      <c r="C3" s="64"/>
      <c r="D3" s="64"/>
    </row>
    <row r="4" spans="1:7" ht="14.45" x14ac:dyDescent="0.3">
      <c r="A4" s="64"/>
      <c r="B4" s="64" t="s">
        <v>150</v>
      </c>
      <c r="C4" s="66"/>
      <c r="D4" s="64" t="s">
        <v>171</v>
      </c>
    </row>
    <row r="5" spans="1:7" ht="14.45" x14ac:dyDescent="0.3">
      <c r="A5" s="64"/>
      <c r="B5" s="64" t="s">
        <v>149</v>
      </c>
      <c r="C5" s="66"/>
      <c r="D5" s="64" t="s">
        <v>171</v>
      </c>
    </row>
    <row r="6" spans="1:7" ht="14.45" x14ac:dyDescent="0.3">
      <c r="A6" s="64"/>
      <c r="B6" s="64" t="s">
        <v>174</v>
      </c>
      <c r="C6" s="66"/>
      <c r="D6" s="64" t="s">
        <v>171</v>
      </c>
    </row>
    <row r="7" spans="1:7" ht="14.45" x14ac:dyDescent="0.3">
      <c r="B7" s="84" t="s">
        <v>175</v>
      </c>
      <c r="C7" s="66"/>
      <c r="D7" s="64" t="s">
        <v>171</v>
      </c>
    </row>
    <row r="8" spans="1:7" ht="16.149999999999999" x14ac:dyDescent="0.3">
      <c r="B8" s="84" t="s">
        <v>176</v>
      </c>
      <c r="C8" s="84">
        <f>1.2/12*((C4*0)+(C5*0.25)+(C6*0.95)+(C7*0.95))</f>
        <v>0</v>
      </c>
      <c r="D8" t="s">
        <v>19</v>
      </c>
    </row>
    <row r="9" spans="1:7" ht="14.45" x14ac:dyDescent="0.3">
      <c r="B9" s="84"/>
      <c r="C9" s="84"/>
    </row>
    <row r="10" spans="1:7" s="15" customFormat="1" ht="17.25" x14ac:dyDescent="0.3">
      <c r="A10" s="96" t="s">
        <v>173</v>
      </c>
      <c r="B10" s="94"/>
      <c r="C10" s="94"/>
      <c r="D10" s="94"/>
      <c r="E10" s="94"/>
    </row>
    <row r="11" spans="1:7" ht="16.149999999999999" x14ac:dyDescent="0.3">
      <c r="B11" s="93" t="s">
        <v>134</v>
      </c>
      <c r="C11" s="93"/>
    </row>
    <row r="12" spans="1:7" ht="16.149999999999999" x14ac:dyDescent="0.3">
      <c r="B12" s="93" t="s">
        <v>46</v>
      </c>
      <c r="C12" s="93"/>
      <c r="D12" s="2"/>
      <c r="E12" t="s">
        <v>20</v>
      </c>
    </row>
    <row r="13" spans="1:7" ht="15.6" x14ac:dyDescent="0.35">
      <c r="B13" s="93" t="s">
        <v>47</v>
      </c>
      <c r="C13" s="93"/>
      <c r="D13" s="2"/>
      <c r="E13" t="s">
        <v>17</v>
      </c>
    </row>
    <row r="14" spans="1:7" ht="14.45" x14ac:dyDescent="0.3">
      <c r="B14" s="93" t="s">
        <v>51</v>
      </c>
      <c r="C14" s="93"/>
      <c r="D14" s="2"/>
      <c r="E14" t="s">
        <v>31</v>
      </c>
      <c r="F14" t="s">
        <v>48</v>
      </c>
    </row>
    <row r="15" spans="1:7" ht="18" x14ac:dyDescent="0.35">
      <c r="B15" s="93" t="s">
        <v>49</v>
      </c>
      <c r="C15" s="93"/>
      <c r="D15" s="7">
        <v>0.35</v>
      </c>
      <c r="E15" s="26"/>
      <c r="F15" s="26"/>
      <c r="G15" s="26"/>
    </row>
    <row r="16" spans="1:7" ht="14.45" x14ac:dyDescent="0.3">
      <c r="B16" s="93" t="s">
        <v>35</v>
      </c>
      <c r="C16" s="93"/>
      <c r="D16" s="7">
        <v>8.3000000000000004E-2</v>
      </c>
      <c r="E16" s="9" t="s">
        <v>32</v>
      </c>
      <c r="F16" s="26"/>
      <c r="G16" s="26"/>
    </row>
    <row r="17" spans="1:17" ht="14.45" x14ac:dyDescent="0.3">
      <c r="A17" s="7"/>
      <c r="B17" s="38"/>
      <c r="C17" s="38"/>
      <c r="D17" s="7"/>
      <c r="E17" s="39"/>
      <c r="F17" s="40" t="s">
        <v>105</v>
      </c>
      <c r="G17" s="103" t="s">
        <v>122</v>
      </c>
      <c r="H17" s="103"/>
      <c r="I17" s="99" t="s">
        <v>104</v>
      </c>
      <c r="J17" s="99"/>
      <c r="K17" s="99" t="s">
        <v>123</v>
      </c>
      <c r="L17" s="99"/>
    </row>
    <row r="18" spans="1:17" ht="14.45" x14ac:dyDescent="0.3">
      <c r="A18" s="7"/>
      <c r="B18" s="104" t="s">
        <v>103</v>
      </c>
      <c r="C18" s="104"/>
      <c r="D18" s="104"/>
      <c r="E18" s="104"/>
      <c r="F18" s="30">
        <v>0</v>
      </c>
      <c r="G18" s="41" t="s">
        <v>100</v>
      </c>
      <c r="H18" s="17"/>
      <c r="I18" s="42" t="s">
        <v>100</v>
      </c>
      <c r="J18" s="17"/>
      <c r="K18" s="42" t="s">
        <v>99</v>
      </c>
      <c r="L18" s="7"/>
      <c r="M18" s="7"/>
      <c r="N18" s="7"/>
      <c r="O18" s="7"/>
      <c r="P18" s="7"/>
      <c r="Q18" s="7"/>
    </row>
    <row r="19" spans="1:17" ht="14.45" x14ac:dyDescent="0.3">
      <c r="A19" s="7"/>
      <c r="B19" s="102" t="s">
        <v>102</v>
      </c>
      <c r="C19" s="102"/>
      <c r="D19" s="102"/>
      <c r="E19" s="102"/>
      <c r="F19" s="29">
        <v>0</v>
      </c>
      <c r="G19" s="42" t="s">
        <v>100</v>
      </c>
      <c r="H19" s="17"/>
      <c r="I19" s="42" t="s">
        <v>100</v>
      </c>
      <c r="J19" s="17"/>
      <c r="K19" s="42" t="s">
        <v>99</v>
      </c>
      <c r="L19" s="7"/>
      <c r="M19" s="7"/>
      <c r="N19" s="7"/>
      <c r="O19" s="7"/>
      <c r="P19" s="7"/>
      <c r="Q19" s="7"/>
    </row>
    <row r="20" spans="1:17" ht="14.45" x14ac:dyDescent="0.3">
      <c r="A20" s="7"/>
      <c r="B20" s="102" t="s">
        <v>101</v>
      </c>
      <c r="C20" s="102"/>
      <c r="D20" s="102"/>
      <c r="E20" s="102"/>
      <c r="F20" s="29">
        <v>0</v>
      </c>
      <c r="G20" s="42" t="s">
        <v>100</v>
      </c>
      <c r="H20" s="17"/>
      <c r="I20" s="42" t="s">
        <v>99</v>
      </c>
      <c r="J20" s="17"/>
      <c r="K20" s="42" t="s">
        <v>99</v>
      </c>
      <c r="L20" s="7"/>
      <c r="M20" s="7"/>
      <c r="N20" s="7"/>
      <c r="O20" s="7"/>
      <c r="P20" s="7"/>
      <c r="Q20" s="7"/>
    </row>
    <row r="21" spans="1:17" ht="14.45" x14ac:dyDescent="0.3">
      <c r="B21" s="25"/>
      <c r="C21" s="25"/>
      <c r="D21" s="25"/>
      <c r="E21" s="25"/>
      <c r="G21" s="100" t="s">
        <v>125</v>
      </c>
      <c r="H21" s="100"/>
      <c r="I21" s="100"/>
      <c r="J21" s="100"/>
      <c r="K21" s="99" t="s">
        <v>124</v>
      </c>
      <c r="L21" s="99"/>
      <c r="M21" s="99"/>
      <c r="N21" s="99"/>
      <c r="O21" s="99"/>
      <c r="P21" s="99"/>
      <c r="Q21" s="99"/>
    </row>
    <row r="22" spans="1:17" ht="14.45" x14ac:dyDescent="0.3">
      <c r="B22" s="43"/>
      <c r="C22" s="43"/>
      <c r="D22" s="43"/>
      <c r="E22" s="43"/>
      <c r="G22" s="45" t="s">
        <v>126</v>
      </c>
      <c r="H22" s="45"/>
      <c r="I22" s="45"/>
      <c r="J22" s="45"/>
      <c r="K22" s="44"/>
      <c r="L22" s="44"/>
      <c r="M22" s="44"/>
      <c r="N22" s="44"/>
      <c r="O22" s="44"/>
      <c r="P22" s="44"/>
      <c r="Q22" s="44"/>
    </row>
    <row r="23" spans="1:17" ht="14.45" x14ac:dyDescent="0.3">
      <c r="B23" s="43"/>
      <c r="C23" s="43"/>
      <c r="D23" s="43"/>
      <c r="E23" s="43"/>
      <c r="G23" s="45"/>
      <c r="H23" s="45" t="s">
        <v>127</v>
      </c>
      <c r="I23" s="45" t="e">
        <f>24*((1/D14)*(D13*D15*2))</f>
        <v>#DIV/0!</v>
      </c>
      <c r="J23" s="45"/>
      <c r="K23" s="44"/>
      <c r="L23" s="44"/>
      <c r="M23" s="44"/>
      <c r="N23" s="44"/>
      <c r="O23" s="44"/>
      <c r="P23" s="44"/>
      <c r="Q23" s="44"/>
    </row>
    <row r="24" spans="1:17" ht="14.45" x14ac:dyDescent="0.3">
      <c r="B24" s="43"/>
      <c r="C24" s="43"/>
      <c r="D24" s="43"/>
      <c r="E24" s="43"/>
      <c r="G24" s="45"/>
      <c r="H24" s="45"/>
      <c r="I24" s="45"/>
      <c r="J24" s="45"/>
      <c r="K24" s="44"/>
      <c r="L24" s="44"/>
      <c r="M24" s="44"/>
      <c r="N24" s="44"/>
      <c r="O24" s="44"/>
      <c r="P24" s="44"/>
      <c r="Q24" s="44"/>
    </row>
    <row r="25" spans="1:17" ht="14.45" x14ac:dyDescent="0.3">
      <c r="A25" s="101" t="s">
        <v>98</v>
      </c>
      <c r="B25" s="101"/>
      <c r="C25" s="101"/>
      <c r="D25" s="101"/>
      <c r="E25" s="10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4.45" x14ac:dyDescent="0.3">
      <c r="A26" s="101" t="s">
        <v>97</v>
      </c>
      <c r="B26" s="101"/>
      <c r="C26" s="101"/>
      <c r="D26" s="101"/>
      <c r="E26" s="101"/>
      <c r="K26" s="28"/>
    </row>
    <row r="27" spans="1:17" ht="16.149999999999999" x14ac:dyDescent="0.3">
      <c r="B27" s="4" t="s">
        <v>93</v>
      </c>
      <c r="C27" s="7">
        <f xml:space="preserve"> D12*((D13*D15)+(0.5*D14*D16))</f>
        <v>0</v>
      </c>
      <c r="D27" t="s">
        <v>19</v>
      </c>
    </row>
    <row r="28" spans="1:17" ht="16.149999999999999" x14ac:dyDescent="0.3">
      <c r="B28" s="31" t="s">
        <v>96</v>
      </c>
      <c r="C28" s="7">
        <f>MIN(4.5*(D12*0.01),C8)</f>
        <v>0</v>
      </c>
      <c r="D28" s="7" t="s">
        <v>19</v>
      </c>
      <c r="E28" s="95" t="s">
        <v>8</v>
      </c>
      <c r="F28" s="95"/>
      <c r="G28" s="95"/>
      <c r="H28" s="95"/>
    </row>
    <row r="29" spans="1:17" ht="16.149999999999999" x14ac:dyDescent="0.3">
      <c r="B29" s="31" t="s">
        <v>95</v>
      </c>
      <c r="C29" s="7">
        <f>MIN(C27,C8)</f>
        <v>0</v>
      </c>
      <c r="D29" s="7" t="s">
        <v>19</v>
      </c>
    </row>
    <row r="31" spans="1:17" x14ac:dyDescent="0.25">
      <c r="B31" s="31" t="s">
        <v>96</v>
      </c>
      <c r="C31" s="7">
        <f>C28*7.48</f>
        <v>0</v>
      </c>
      <c r="D31" s="7" t="s">
        <v>94</v>
      </c>
    </row>
    <row r="32" spans="1:17" x14ac:dyDescent="0.25">
      <c r="B32" s="31" t="s">
        <v>95</v>
      </c>
      <c r="C32" s="7">
        <f>C29*7.48</f>
        <v>0</v>
      </c>
      <c r="D32" s="7" t="s">
        <v>94</v>
      </c>
    </row>
    <row r="33" spans="5:5" ht="18" x14ac:dyDescent="0.35">
      <c r="E33" s="27"/>
    </row>
  </sheetData>
  <mergeCells count="19">
    <mergeCell ref="A25:E25"/>
    <mergeCell ref="E28:H28"/>
    <mergeCell ref="B13:C13"/>
    <mergeCell ref="B14:C14"/>
    <mergeCell ref="B20:E20"/>
    <mergeCell ref="A26:E26"/>
    <mergeCell ref="G17:H17"/>
    <mergeCell ref="B16:C16"/>
    <mergeCell ref="B18:E18"/>
    <mergeCell ref="B19:E19"/>
    <mergeCell ref="K21:Q21"/>
    <mergeCell ref="G21:J21"/>
    <mergeCell ref="A1:E1"/>
    <mergeCell ref="B11:C11"/>
    <mergeCell ref="B12:C12"/>
    <mergeCell ref="A10:E10"/>
    <mergeCell ref="B15:C15"/>
    <mergeCell ref="I17:J17"/>
    <mergeCell ref="K17:L1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3" sqref="A3:D8"/>
    </sheetView>
  </sheetViews>
  <sheetFormatPr defaultRowHeight="15" x14ac:dyDescent="0.25"/>
  <cols>
    <col min="2" max="2" width="16.42578125" bestFit="1" customWidth="1"/>
    <col min="3" max="3" width="14.85546875" customWidth="1"/>
  </cols>
  <sheetData>
    <row r="1" spans="1:9" ht="14.45" x14ac:dyDescent="0.3">
      <c r="A1" s="91" t="s">
        <v>54</v>
      </c>
      <c r="B1" s="91"/>
      <c r="C1" s="91"/>
      <c r="D1" s="91"/>
      <c r="E1" s="91"/>
    </row>
    <row r="3" spans="1:9" ht="14.45" x14ac:dyDescent="0.3">
      <c r="A3" s="69" t="s">
        <v>148</v>
      </c>
      <c r="B3" s="64"/>
      <c r="C3" s="64"/>
      <c r="D3" s="64"/>
    </row>
    <row r="4" spans="1:9" ht="14.45" x14ac:dyDescent="0.3">
      <c r="A4" s="64"/>
      <c r="B4" s="64" t="s">
        <v>150</v>
      </c>
      <c r="C4" s="66"/>
      <c r="D4" s="64" t="s">
        <v>171</v>
      </c>
    </row>
    <row r="5" spans="1:9" ht="14.45" x14ac:dyDescent="0.3">
      <c r="A5" s="64"/>
      <c r="B5" s="64" t="s">
        <v>149</v>
      </c>
      <c r="C5" s="66"/>
      <c r="D5" s="64" t="s">
        <v>171</v>
      </c>
    </row>
    <row r="6" spans="1:9" ht="14.45" x14ac:dyDescent="0.3">
      <c r="A6" s="64"/>
      <c r="B6" s="64" t="s">
        <v>174</v>
      </c>
      <c r="C6" s="66"/>
      <c r="D6" s="64" t="s">
        <v>171</v>
      </c>
    </row>
    <row r="7" spans="1:9" ht="14.45" x14ac:dyDescent="0.3">
      <c r="B7" s="84" t="s">
        <v>175</v>
      </c>
      <c r="C7" s="66"/>
      <c r="D7" s="64" t="s">
        <v>171</v>
      </c>
    </row>
    <row r="8" spans="1:9" ht="16.149999999999999" x14ac:dyDescent="0.3">
      <c r="B8" s="84" t="s">
        <v>176</v>
      </c>
      <c r="C8" s="84">
        <f>1.2/12*((C4*0)+(C5*0.25)+(C6*0.95)+(C7*0.95))</f>
        <v>0</v>
      </c>
      <c r="D8" t="s">
        <v>19</v>
      </c>
    </row>
    <row r="10" spans="1:9" s="15" customFormat="1" ht="15.75" x14ac:dyDescent="0.25">
      <c r="A10" s="96" t="s">
        <v>55</v>
      </c>
      <c r="B10" s="94"/>
      <c r="C10" s="94"/>
      <c r="D10" s="94"/>
      <c r="E10" s="94"/>
    </row>
    <row r="11" spans="1:9" ht="17.25" x14ac:dyDescent="0.25">
      <c r="B11" s="4" t="s">
        <v>53</v>
      </c>
      <c r="C11" s="2"/>
      <c r="F11" s="24" t="s">
        <v>89</v>
      </c>
      <c r="G11" s="24"/>
      <c r="H11" s="24"/>
      <c r="I11" s="24"/>
    </row>
    <row r="12" spans="1:9" x14ac:dyDescent="0.25">
      <c r="F12" s="10" t="s">
        <v>90</v>
      </c>
    </row>
    <row r="13" spans="1:9" ht="17.25" x14ac:dyDescent="0.25">
      <c r="B13" s="4" t="s">
        <v>52</v>
      </c>
      <c r="C13">
        <f>MIN(0.1*C11,C8)</f>
        <v>0</v>
      </c>
      <c r="D13" t="s">
        <v>19</v>
      </c>
      <c r="F13" s="95" t="s">
        <v>8</v>
      </c>
      <c r="G13" s="95"/>
      <c r="H13" s="95"/>
      <c r="I13" s="95"/>
    </row>
    <row r="14" spans="1:9" x14ac:dyDescent="0.25">
      <c r="B14" s="4" t="s">
        <v>52</v>
      </c>
      <c r="C14">
        <f>C13*7.48</f>
        <v>0</v>
      </c>
      <c r="D14" t="s">
        <v>94</v>
      </c>
    </row>
    <row r="20" spans="2:4" x14ac:dyDescent="0.25">
      <c r="B20" s="4"/>
      <c r="C20" s="95"/>
      <c r="D20" s="95"/>
    </row>
  </sheetData>
  <mergeCells count="4">
    <mergeCell ref="F13:I13"/>
    <mergeCell ref="A1:E1"/>
    <mergeCell ref="A10:E10"/>
    <mergeCell ref="C20:D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I17" sqref="I17"/>
    </sheetView>
  </sheetViews>
  <sheetFormatPr defaultRowHeight="15" x14ac:dyDescent="0.25"/>
  <cols>
    <col min="2" max="2" width="32.5703125" bestFit="1" customWidth="1"/>
    <col min="3" max="3" width="9.5703125" customWidth="1"/>
  </cols>
  <sheetData>
    <row r="1" spans="1:7" x14ac:dyDescent="0.25">
      <c r="A1" s="91" t="s">
        <v>85</v>
      </c>
      <c r="B1" s="91"/>
      <c r="C1" s="91"/>
    </row>
    <row r="3" spans="1:7" ht="14.45" x14ac:dyDescent="0.3">
      <c r="A3" s="69" t="s">
        <v>148</v>
      </c>
      <c r="B3" s="64"/>
      <c r="C3" s="64"/>
      <c r="D3" s="64"/>
    </row>
    <row r="4" spans="1:7" ht="14.45" x14ac:dyDescent="0.3">
      <c r="A4" s="64"/>
      <c r="B4" s="64" t="s">
        <v>150</v>
      </c>
      <c r="C4" s="66"/>
      <c r="D4" s="64" t="s">
        <v>171</v>
      </c>
    </row>
    <row r="5" spans="1:7" ht="14.45" x14ac:dyDescent="0.3">
      <c r="A5" s="64"/>
      <c r="B5" s="64" t="s">
        <v>149</v>
      </c>
      <c r="C5" s="66"/>
      <c r="D5" s="64" t="s">
        <v>171</v>
      </c>
    </row>
    <row r="6" spans="1:7" ht="14.45" x14ac:dyDescent="0.3">
      <c r="A6" s="64"/>
      <c r="B6" s="64" t="s">
        <v>174</v>
      </c>
      <c r="C6" s="66"/>
      <c r="D6" s="64" t="s">
        <v>171</v>
      </c>
    </row>
    <row r="7" spans="1:7" ht="14.45" x14ac:dyDescent="0.3">
      <c r="B7" s="84" t="s">
        <v>175</v>
      </c>
      <c r="C7" s="66"/>
      <c r="D7" s="64" t="s">
        <v>171</v>
      </c>
    </row>
    <row r="8" spans="1:7" ht="16.149999999999999" x14ac:dyDescent="0.3">
      <c r="B8" s="84" t="s">
        <v>176</v>
      </c>
      <c r="C8" s="84">
        <f>1.2/12*((C4*0)+(C5*0.25)+(C6*0.95)+(C7*0.95))</f>
        <v>0</v>
      </c>
      <c r="D8" t="s">
        <v>19</v>
      </c>
    </row>
    <row r="11" spans="1:7" ht="15.75" x14ac:dyDescent="0.25">
      <c r="A11" s="92" t="s">
        <v>86</v>
      </c>
      <c r="B11" s="93"/>
      <c r="C11" s="93"/>
    </row>
    <row r="13" spans="1:7" ht="17.25" x14ac:dyDescent="0.25">
      <c r="B13" t="s">
        <v>87</v>
      </c>
      <c r="C13" s="2"/>
      <c r="D13" s="95" t="s">
        <v>88</v>
      </c>
      <c r="E13" s="95"/>
      <c r="F13" s="95"/>
      <c r="G13" s="95"/>
    </row>
    <row r="14" spans="1:7" ht="17.25" x14ac:dyDescent="0.25">
      <c r="B14" t="s">
        <v>91</v>
      </c>
      <c r="C14" s="2"/>
      <c r="D14" s="24" t="s">
        <v>92</v>
      </c>
      <c r="E14" s="24"/>
      <c r="F14" s="24"/>
      <c r="G14" s="24"/>
    </row>
    <row r="15" spans="1:7" ht="14.45" customHeight="1" x14ac:dyDescent="0.25">
      <c r="B15" s="56"/>
      <c r="C15" s="23"/>
      <c r="D15" s="23"/>
      <c r="E15" s="23"/>
    </row>
    <row r="16" spans="1:7" ht="17.25" x14ac:dyDescent="0.25">
      <c r="B16" s="4" t="s">
        <v>53</v>
      </c>
      <c r="C16" s="2"/>
    </row>
    <row r="17" spans="2:8" ht="17.25" x14ac:dyDescent="0.25">
      <c r="B17" s="4" t="s">
        <v>52</v>
      </c>
      <c r="C17">
        <f>MIN(0.1*C16,C8)</f>
        <v>0</v>
      </c>
      <c r="D17" t="s">
        <v>19</v>
      </c>
      <c r="E17" s="24" t="s">
        <v>8</v>
      </c>
      <c r="F17" s="24"/>
      <c r="G17" s="24"/>
      <c r="H17" s="24"/>
    </row>
    <row r="18" spans="2:8" ht="14.45" customHeight="1" x14ac:dyDescent="0.25">
      <c r="B18" s="4" t="s">
        <v>52</v>
      </c>
      <c r="C18">
        <f>C17*7.48</f>
        <v>0</v>
      </c>
      <c r="D18" t="s">
        <v>94</v>
      </c>
    </row>
  </sheetData>
  <mergeCells count="3">
    <mergeCell ref="D13:G13"/>
    <mergeCell ref="A1:C1"/>
    <mergeCell ref="A11:C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Green Roof</vt:lpstr>
      <vt:lpstr>Bioretention</vt:lpstr>
      <vt:lpstr>Infiltration Basins_Trench</vt:lpstr>
      <vt:lpstr>Dry Swale</vt:lpstr>
      <vt:lpstr>Rainwater Harvesting</vt:lpstr>
      <vt:lpstr>Impervious Surface Disconnectio</vt:lpstr>
      <vt:lpstr>Permeable Pavement System</vt:lpstr>
      <vt:lpstr>Stormwater-Wetland Pond</vt:lpstr>
      <vt:lpstr>Wetland Swale</vt:lpstr>
      <vt:lpstr>Grass Channel</vt:lpstr>
      <vt:lpstr>Tree Planting and Preservation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MRES</dc:creator>
  <cp:lastModifiedBy>EmilyRice</cp:lastModifiedBy>
  <dcterms:created xsi:type="dcterms:W3CDTF">2013-06-23T13:40:58Z</dcterms:created>
  <dcterms:modified xsi:type="dcterms:W3CDTF">2015-07-09T19:38:34Z</dcterms:modified>
</cp:coreProperties>
</file>