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showInkAnnotation="0" codeName="ThisWorkbook" hidePivotFieldList="1"/>
  <mc:AlternateContent xmlns:mc="http://schemas.openxmlformats.org/markup-compatibility/2006">
    <mc:Choice Requires="x15">
      <x15ac:absPath xmlns:x15ac="http://schemas.microsoft.com/office/spreadsheetml/2010/11/ac" url="Z:\USA\Green Building and Climate Branch\Climate\Inventory\"/>
    </mc:Choice>
  </mc:AlternateContent>
  <xr:revisionPtr revIDLastSave="0" documentId="13_ncr:1_{9E24256A-86D4-40E9-85C1-9B452C037C7D}" xr6:coauthVersionLast="45" xr6:coauthVersionMax="45" xr10:uidLastSave="{00000000-0000-0000-0000-000000000000}"/>
  <bookViews>
    <workbookView xWindow="57480" yWindow="4890" windowWidth="29040" windowHeight="17025" xr2:uid="{00000000-000D-0000-FFFF-FFFF00000000}"/>
  </bookViews>
  <sheets>
    <sheet name="Citywide by Sector" sheetId="1" r:id="rId1"/>
    <sheet name="Method - Citywide" sheetId="33" r:id="rId2"/>
    <sheet name="Gov Ops" sheetId="2" r:id="rId3"/>
    <sheet name="Gov Ops Summary Table " sheetId="27" state="hidden" r:id="rId4"/>
    <sheet name="Method - Gov Ops" sheetId="34" r:id="rId5"/>
    <sheet name="City Charts --&gt;" sheetId="35" state="hidden" r:id="rId6"/>
    <sheet name="Clean Energy" sheetId="9" state="hidden" r:id="rId7"/>
    <sheet name="Citywide by Sector_not updated" sheetId="15" state="hidden" r:id="rId8"/>
  </sheets>
  <externalReferences>
    <externalReference r:id="rId9"/>
    <externalReference r:id="rId10"/>
    <externalReference r:id="rId11"/>
  </externalReferences>
  <definedNames>
    <definedName name="_xlnm.Print_Area" localSheetId="0">'Citywide by Sector'!$A$1:$R$41</definedName>
    <definedName name="_xlnm.Print_Area" localSheetId="2">'Gov Ops'!$A$1:$T$50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11" i="2" l="1"/>
  <c r="V50" i="2"/>
  <c r="X49" i="2"/>
  <c r="X45" i="2"/>
  <c r="V45" i="2"/>
  <c r="X37" i="2"/>
  <c r="X32" i="2"/>
  <c r="W14" i="2"/>
  <c r="X14" i="2"/>
  <c r="X8" i="2"/>
  <c r="X50" i="2" l="1"/>
  <c r="N37" i="1" l="1"/>
  <c r="M25" i="1"/>
  <c r="M11" i="1" s="1"/>
  <c r="U36" i="1"/>
  <c r="U22" i="1"/>
  <c r="V40" i="1"/>
  <c r="V37" i="1"/>
  <c r="V34" i="1"/>
  <c r="V29" i="1"/>
  <c r="V19" i="1"/>
  <c r="V11" i="1"/>
  <c r="V14" i="1" s="1"/>
  <c r="V8" i="1"/>
  <c r="V23" i="1" s="1"/>
  <c r="X40" i="1"/>
  <c r="X37" i="1"/>
  <c r="X34" i="1"/>
  <c r="X29" i="1"/>
  <c r="X23" i="1"/>
  <c r="X41" i="1" s="1"/>
  <c r="X19" i="1"/>
  <c r="X14" i="1"/>
  <c r="X8" i="1"/>
  <c r="W36" i="1"/>
  <c r="W22" i="1"/>
  <c r="V41" i="1" l="1"/>
  <c r="T8" i="1"/>
  <c r="D49" i="2"/>
  <c r="D45" i="2"/>
  <c r="D32" i="2"/>
  <c r="D37" i="2"/>
  <c r="D14" i="2"/>
  <c r="D8" i="2"/>
  <c r="D11" i="2" s="1"/>
  <c r="T49" i="2"/>
  <c r="T45" i="2"/>
  <c r="T32" i="2"/>
  <c r="T37" i="2"/>
  <c r="T14" i="2"/>
  <c r="T8" i="2"/>
  <c r="R49" i="2"/>
  <c r="R45" i="2"/>
  <c r="R32" i="2"/>
  <c r="R37" i="2"/>
  <c r="R14" i="2"/>
  <c r="R8" i="2"/>
  <c r="P49" i="2"/>
  <c r="P45" i="2"/>
  <c r="P32" i="2"/>
  <c r="P37" i="2"/>
  <c r="P14" i="2"/>
  <c r="P8" i="2"/>
  <c r="N49" i="2"/>
  <c r="N45" i="2"/>
  <c r="N32" i="2"/>
  <c r="N50" i="2" s="1"/>
  <c r="N37" i="2"/>
  <c r="N8" i="2"/>
  <c r="L49" i="2"/>
  <c r="L45" i="2"/>
  <c r="L32" i="2"/>
  <c r="L37" i="2"/>
  <c r="L14" i="2"/>
  <c r="L8" i="2"/>
  <c r="L11" i="2" s="1"/>
  <c r="J49" i="2"/>
  <c r="J45" i="2"/>
  <c r="J32" i="2"/>
  <c r="J37" i="2"/>
  <c r="J14" i="2"/>
  <c r="J8" i="2"/>
  <c r="J11" i="2" s="1"/>
  <c r="H49" i="2"/>
  <c r="H45" i="2"/>
  <c r="H50" i="2" s="1"/>
  <c r="H32" i="2"/>
  <c r="H37" i="2"/>
  <c r="H14" i="2"/>
  <c r="H8" i="2"/>
  <c r="H11" i="2" s="1"/>
  <c r="F49" i="2"/>
  <c r="F45" i="2"/>
  <c r="F32" i="2"/>
  <c r="F37" i="2"/>
  <c r="F14" i="2"/>
  <c r="F8" i="2"/>
  <c r="D37" i="1"/>
  <c r="D34" i="1"/>
  <c r="D29" i="1"/>
  <c r="D19" i="1"/>
  <c r="D14" i="1"/>
  <c r="D8" i="1"/>
  <c r="T37" i="1"/>
  <c r="T34" i="1"/>
  <c r="T29" i="1"/>
  <c r="T19" i="1"/>
  <c r="T14" i="1"/>
  <c r="R37" i="1"/>
  <c r="R34" i="1"/>
  <c r="R29" i="1"/>
  <c r="R19" i="1"/>
  <c r="R14" i="1"/>
  <c r="R8" i="1"/>
  <c r="P37" i="1"/>
  <c r="P34" i="1"/>
  <c r="P29" i="1"/>
  <c r="P19" i="1"/>
  <c r="P14" i="1"/>
  <c r="P8" i="1"/>
  <c r="N34" i="1"/>
  <c r="N41" i="1" s="1"/>
  <c r="N29" i="1"/>
  <c r="N8" i="1"/>
  <c r="N14" i="1"/>
  <c r="L37" i="1"/>
  <c r="L34" i="1"/>
  <c r="L29" i="1"/>
  <c r="L19" i="1"/>
  <c r="L14" i="1"/>
  <c r="L8" i="1"/>
  <c r="J37" i="1"/>
  <c r="J34" i="1"/>
  <c r="J29" i="1"/>
  <c r="J19" i="1"/>
  <c r="J14" i="1"/>
  <c r="J8" i="1"/>
  <c r="H37" i="1"/>
  <c r="H34" i="1"/>
  <c r="H29" i="1"/>
  <c r="H19" i="1"/>
  <c r="H14" i="1"/>
  <c r="H8" i="1"/>
  <c r="F37" i="1"/>
  <c r="F34" i="1"/>
  <c r="F29" i="1"/>
  <c r="F8" i="1"/>
  <c r="F14" i="1"/>
  <c r="F19" i="1"/>
  <c r="G14" i="2"/>
  <c r="E14" i="2"/>
  <c r="C14" i="2"/>
  <c r="E37" i="2"/>
  <c r="O6" i="2"/>
  <c r="G37" i="2"/>
  <c r="I37" i="2"/>
  <c r="K37" i="2"/>
  <c r="M37" i="2"/>
  <c r="O37" i="2"/>
  <c r="Q37" i="2"/>
  <c r="S37" i="2"/>
  <c r="C37" i="2"/>
  <c r="T11" i="2"/>
  <c r="S5" i="2"/>
  <c r="S13" i="2"/>
  <c r="Q4" i="2"/>
  <c r="Q5" i="2"/>
  <c r="Q44" i="2"/>
  <c r="O44" i="2"/>
  <c r="M44" i="2"/>
  <c r="K44" i="2"/>
  <c r="G44" i="2"/>
  <c r="C44" i="2"/>
  <c r="S44" i="2"/>
  <c r="S4" i="2"/>
  <c r="S29" i="2"/>
  <c r="S28" i="2"/>
  <c r="S27" i="2"/>
  <c r="Q47" i="2"/>
  <c r="Q31" i="2"/>
  <c r="Q28" i="2"/>
  <c r="Q27" i="2"/>
  <c r="Q23" i="2"/>
  <c r="Q14" i="2"/>
  <c r="Q7" i="2"/>
  <c r="Q6" i="2"/>
  <c r="S36" i="1"/>
  <c r="L19" i="27"/>
  <c r="L21" i="27"/>
  <c r="L18" i="27"/>
  <c r="K21" i="27"/>
  <c r="K20" i="27"/>
  <c r="K19" i="27"/>
  <c r="K18" i="27"/>
  <c r="L49" i="27" s="1"/>
  <c r="O4" i="2"/>
  <c r="L8" i="27"/>
  <c r="L38" i="27" s="1"/>
  <c r="N8" i="27"/>
  <c r="N38" i="27" s="1"/>
  <c r="L11" i="27"/>
  <c r="M11" i="27"/>
  <c r="N11" i="27"/>
  <c r="L15" i="27"/>
  <c r="M15" i="27"/>
  <c r="N15" i="27"/>
  <c r="N45" i="27" s="1"/>
  <c r="N22" i="27"/>
  <c r="L28" i="27"/>
  <c r="N28" i="27"/>
  <c r="L32" i="27"/>
  <c r="L45" i="27" s="1"/>
  <c r="N32" i="27"/>
  <c r="L44" i="27"/>
  <c r="N50" i="27"/>
  <c r="N49" i="27"/>
  <c r="N44" i="27"/>
  <c r="O47" i="2"/>
  <c r="K30" i="27"/>
  <c r="O23" i="2"/>
  <c r="O27" i="2"/>
  <c r="O28" i="2"/>
  <c r="O31" i="2"/>
  <c r="O7" i="2"/>
  <c r="O5" i="2"/>
  <c r="O14" i="2"/>
  <c r="P11" i="2"/>
  <c r="K36" i="1"/>
  <c r="I36" i="1"/>
  <c r="G36" i="1"/>
  <c r="E36" i="1"/>
  <c r="M36" i="1"/>
  <c r="D44" i="27"/>
  <c r="O19" i="27"/>
  <c r="H50" i="27"/>
  <c r="F49" i="27"/>
  <c r="D49" i="27"/>
  <c r="J44" i="27"/>
  <c r="D40" i="27"/>
  <c r="D39" i="27"/>
  <c r="J32" i="27"/>
  <c r="H32" i="27"/>
  <c r="F32" i="27"/>
  <c r="D32" i="27"/>
  <c r="D35" i="27" s="1"/>
  <c r="C32" i="27"/>
  <c r="J28" i="27"/>
  <c r="H28" i="27"/>
  <c r="F27" i="27"/>
  <c r="F28" i="27" s="1"/>
  <c r="D27" i="27"/>
  <c r="D28" i="27"/>
  <c r="O25" i="27"/>
  <c r="R17" i="27"/>
  <c r="Q17" i="27"/>
  <c r="P17" i="27"/>
  <c r="J15" i="27"/>
  <c r="J45" i="27" s="1"/>
  <c r="R15" i="27"/>
  <c r="Q15" i="27"/>
  <c r="P15" i="27"/>
  <c r="I15" i="27"/>
  <c r="T15" i="27" s="1"/>
  <c r="H15" i="27"/>
  <c r="G15" i="27"/>
  <c r="F15" i="27"/>
  <c r="E15" i="27"/>
  <c r="D15" i="27"/>
  <c r="C15" i="27"/>
  <c r="X14" i="27"/>
  <c r="W14" i="27"/>
  <c r="V14" i="27"/>
  <c r="U14" i="27"/>
  <c r="T14" i="27"/>
  <c r="X13" i="27"/>
  <c r="V13" i="27"/>
  <c r="T13" i="27"/>
  <c r="J11" i="27"/>
  <c r="R11" i="27"/>
  <c r="Q11" i="27"/>
  <c r="P11" i="27"/>
  <c r="I11" i="27"/>
  <c r="H11" i="27"/>
  <c r="G11" i="27"/>
  <c r="F11" i="27"/>
  <c r="E11" i="27"/>
  <c r="D11" i="27"/>
  <c r="S10" i="27"/>
  <c r="R10" i="27"/>
  <c r="Q10" i="27"/>
  <c r="P10" i="27"/>
  <c r="O10" i="27"/>
  <c r="J8" i="27"/>
  <c r="J38" i="27"/>
  <c r="R8" i="27"/>
  <c r="P8" i="27"/>
  <c r="H8" i="27"/>
  <c r="F8" i="27"/>
  <c r="X8" i="27" s="1"/>
  <c r="D8" i="27"/>
  <c r="S8" i="27" s="1"/>
  <c r="X7" i="27"/>
  <c r="W7" i="27"/>
  <c r="V7" i="27"/>
  <c r="U7" i="27"/>
  <c r="T7" i="27"/>
  <c r="S7" i="27"/>
  <c r="R7" i="27"/>
  <c r="Q7" i="27"/>
  <c r="P7" i="27"/>
  <c r="O7" i="27"/>
  <c r="X6" i="27"/>
  <c r="W6" i="27"/>
  <c r="V6" i="27"/>
  <c r="U6" i="27"/>
  <c r="T6" i="27"/>
  <c r="S6" i="27"/>
  <c r="R6" i="27"/>
  <c r="Q6" i="27"/>
  <c r="P6" i="27"/>
  <c r="O6" i="27"/>
  <c r="X5" i="27"/>
  <c r="W5" i="27"/>
  <c r="V5" i="27"/>
  <c r="U5" i="27"/>
  <c r="T5" i="27"/>
  <c r="S5" i="27"/>
  <c r="R5" i="27"/>
  <c r="Q5" i="27"/>
  <c r="P5" i="27"/>
  <c r="O5" i="27"/>
  <c r="X4" i="27"/>
  <c r="W4" i="27"/>
  <c r="V4" i="27"/>
  <c r="U4" i="27"/>
  <c r="T4" i="27"/>
  <c r="S4" i="27"/>
  <c r="R4" i="27"/>
  <c r="Q4" i="27"/>
  <c r="P4" i="27"/>
  <c r="O4" i="27"/>
  <c r="J50" i="27"/>
  <c r="D50" i="27"/>
  <c r="O20" i="27"/>
  <c r="O17" i="27"/>
  <c r="S17" i="27"/>
  <c r="J22" i="27"/>
  <c r="S22" i="27" s="1"/>
  <c r="O21" i="27"/>
  <c r="J49" i="27"/>
  <c r="O49" i="27" s="1"/>
  <c r="H22" i="27"/>
  <c r="F22" i="27"/>
  <c r="F50" i="27"/>
  <c r="D22" i="27"/>
  <c r="D43" i="27" s="1"/>
  <c r="H49" i="27"/>
  <c r="O18" i="27"/>
  <c r="U8" i="27"/>
  <c r="V8" i="27"/>
  <c r="U15" i="27"/>
  <c r="Q8" i="27"/>
  <c r="V15" i="27"/>
  <c r="W15" i="27"/>
  <c r="W8" i="27"/>
  <c r="M18" i="15"/>
  <c r="K18" i="15"/>
  <c r="I18" i="15"/>
  <c r="G18" i="15"/>
  <c r="E18" i="15"/>
  <c r="C18" i="15"/>
  <c r="O18" i="15" s="1"/>
  <c r="M17" i="15"/>
  <c r="C17" i="15"/>
  <c r="K17" i="15"/>
  <c r="I17" i="15"/>
  <c r="G17" i="15"/>
  <c r="E17" i="15"/>
  <c r="K14" i="15"/>
  <c r="I14" i="15"/>
  <c r="G14" i="15"/>
  <c r="E14" i="15"/>
  <c r="C14" i="15"/>
  <c r="M9" i="15"/>
  <c r="O9" i="15" s="1"/>
  <c r="C9" i="15"/>
  <c r="K9" i="15"/>
  <c r="I9" i="15"/>
  <c r="G9" i="15"/>
  <c r="E9" i="15"/>
  <c r="M5" i="15"/>
  <c r="T5" i="15" s="1"/>
  <c r="K5" i="15"/>
  <c r="I5" i="15"/>
  <c r="G5" i="15"/>
  <c r="E5" i="15"/>
  <c r="C5" i="15"/>
  <c r="O5" i="15" s="1"/>
  <c r="N15" i="15"/>
  <c r="L15" i="15"/>
  <c r="J15" i="15"/>
  <c r="H15" i="15"/>
  <c r="F15" i="15"/>
  <c r="D15" i="15"/>
  <c r="S11" i="15" s="1"/>
  <c r="E32" i="15"/>
  <c r="D32" i="15"/>
  <c r="N25" i="15"/>
  <c r="M25" i="15"/>
  <c r="L25" i="15"/>
  <c r="L21" i="15"/>
  <c r="K25" i="15"/>
  <c r="J25" i="15"/>
  <c r="I25" i="15"/>
  <c r="H25" i="15"/>
  <c r="H26" i="15" s="1"/>
  <c r="H21" i="15"/>
  <c r="G25" i="15"/>
  <c r="G26" i="15"/>
  <c r="F25" i="15"/>
  <c r="E25" i="15"/>
  <c r="D25" i="15"/>
  <c r="D26" i="15" s="1"/>
  <c r="D28" i="15"/>
  <c r="C25" i="15"/>
  <c r="N21" i="15"/>
  <c r="J21" i="15"/>
  <c r="R21" i="15"/>
  <c r="Q21" i="15"/>
  <c r="P21" i="15"/>
  <c r="F21" i="15"/>
  <c r="F26" i="15" s="1"/>
  <c r="D21" i="15"/>
  <c r="S20" i="15"/>
  <c r="R20" i="15"/>
  <c r="Q20" i="15"/>
  <c r="P20" i="15"/>
  <c r="O20" i="15"/>
  <c r="S19" i="15"/>
  <c r="R19" i="15"/>
  <c r="Q19" i="15"/>
  <c r="P19" i="15"/>
  <c r="O19" i="15"/>
  <c r="S18" i="15"/>
  <c r="P18" i="15"/>
  <c r="S17" i="15"/>
  <c r="P17" i="15"/>
  <c r="S10" i="15"/>
  <c r="R10" i="15"/>
  <c r="P11" i="15"/>
  <c r="X11" i="15"/>
  <c r="W11" i="15"/>
  <c r="V11" i="15"/>
  <c r="U11" i="15"/>
  <c r="T11" i="15"/>
  <c r="O11" i="15"/>
  <c r="X10" i="15"/>
  <c r="W10" i="15"/>
  <c r="V10" i="15"/>
  <c r="U10" i="15"/>
  <c r="Q10" i="15"/>
  <c r="M10" i="15"/>
  <c r="K10" i="15"/>
  <c r="I10" i="15"/>
  <c r="G10" i="15"/>
  <c r="E10" i="15"/>
  <c r="C10" i="15"/>
  <c r="O10" i="15" s="1"/>
  <c r="X9" i="15"/>
  <c r="W9" i="15"/>
  <c r="V9" i="15"/>
  <c r="U9" i="15"/>
  <c r="S9" i="15"/>
  <c r="R9" i="15"/>
  <c r="Q9" i="15"/>
  <c r="P9" i="15"/>
  <c r="X8" i="15"/>
  <c r="W8" i="15"/>
  <c r="V8" i="15"/>
  <c r="U8" i="15"/>
  <c r="T8" i="15"/>
  <c r="S8" i="15"/>
  <c r="R8" i="15"/>
  <c r="Q8" i="15"/>
  <c r="P8" i="15"/>
  <c r="O8" i="15"/>
  <c r="X6" i="15"/>
  <c r="W6" i="15"/>
  <c r="V6" i="15"/>
  <c r="U6" i="15"/>
  <c r="S6" i="15"/>
  <c r="R6" i="15"/>
  <c r="Q6" i="15"/>
  <c r="P6" i="15"/>
  <c r="O6" i="15"/>
  <c r="I6" i="15"/>
  <c r="T6" i="15" s="1"/>
  <c r="G6" i="15"/>
  <c r="E6" i="15"/>
  <c r="X5" i="15"/>
  <c r="W5" i="15"/>
  <c r="V5" i="15"/>
  <c r="U5" i="15"/>
  <c r="S5" i="15"/>
  <c r="R5" i="15"/>
  <c r="Q5" i="15"/>
  <c r="P5" i="15"/>
  <c r="X4" i="15"/>
  <c r="W4" i="15"/>
  <c r="V4" i="15"/>
  <c r="U4" i="15"/>
  <c r="T4" i="15"/>
  <c r="S4" i="15"/>
  <c r="R4" i="15"/>
  <c r="Q4" i="15"/>
  <c r="P4" i="15"/>
  <c r="O4" i="15"/>
  <c r="Q15" i="15"/>
  <c r="R15" i="15"/>
  <c r="Q11" i="15"/>
  <c r="R11" i="15"/>
  <c r="P10" i="15"/>
  <c r="V15" i="15"/>
  <c r="W26" i="15"/>
  <c r="W15" i="15"/>
  <c r="Q26" i="15"/>
  <c r="P26" i="15"/>
  <c r="U26" i="15"/>
  <c r="U15" i="15"/>
  <c r="P15" i="15"/>
  <c r="R26" i="15"/>
  <c r="V26" i="15"/>
  <c r="M14" i="2"/>
  <c r="K14" i="2"/>
  <c r="C49" i="2"/>
  <c r="I14" i="2"/>
  <c r="K12" i="1"/>
  <c r="M12" i="1"/>
  <c r="I12" i="1"/>
  <c r="E12" i="1"/>
  <c r="C12" i="1"/>
  <c r="G12" i="1"/>
  <c r="G7" i="1"/>
  <c r="E7" i="1"/>
  <c r="I7" i="1"/>
  <c r="O25" i="15"/>
  <c r="X15" i="15"/>
  <c r="X15" i="27"/>
  <c r="X25" i="15"/>
  <c r="N26" i="15"/>
  <c r="S11" i="27"/>
  <c r="T10" i="15"/>
  <c r="N43" i="27"/>
  <c r="X22" i="27"/>
  <c r="J43" i="27"/>
  <c r="O44" i="27"/>
  <c r="S14" i="2"/>
  <c r="F11" i="2"/>
  <c r="R11" i="2"/>
  <c r="N11" i="2"/>
  <c r="C3" i="9"/>
  <c r="D27" i="15" l="1"/>
  <c r="S26" i="15"/>
  <c r="H28" i="15"/>
  <c r="H27" i="15"/>
  <c r="N33" i="27"/>
  <c r="O15" i="27"/>
  <c r="S32" i="27"/>
  <c r="D33" i="27"/>
  <c r="B39" i="27" s="1"/>
  <c r="L26" i="15"/>
  <c r="D31" i="15"/>
  <c r="S28" i="27"/>
  <c r="X21" i="15"/>
  <c r="J26" i="15"/>
  <c r="D50" i="2"/>
  <c r="S25" i="15"/>
  <c r="S15" i="15"/>
  <c r="O17" i="15"/>
  <c r="O50" i="27"/>
  <c r="S15" i="27"/>
  <c r="H33" i="27"/>
  <c r="N36" i="27" s="1"/>
  <c r="X28" i="27"/>
  <c r="K22" i="27"/>
  <c r="L50" i="27"/>
  <c r="F23" i="1"/>
  <c r="F41" i="1" s="1"/>
  <c r="J23" i="1"/>
  <c r="J41" i="1" s="1"/>
  <c r="D23" i="1"/>
  <c r="D41" i="1" s="1"/>
  <c r="B2" i="9" s="1"/>
  <c r="H23" i="1"/>
  <c r="H41" i="1" s="1"/>
  <c r="L23" i="1"/>
  <c r="L41" i="1" s="1"/>
  <c r="R23" i="1"/>
  <c r="R41" i="1" s="1"/>
  <c r="T23" i="1"/>
  <c r="T41" i="1" s="1"/>
  <c r="P23" i="1"/>
  <c r="P41" i="1" s="1"/>
  <c r="N23" i="1"/>
  <c r="B5" i="9" s="1"/>
  <c r="L28" i="15"/>
  <c r="L27" i="15"/>
  <c r="F33" i="27"/>
  <c r="H35" i="27" s="1"/>
  <c r="N37" i="27"/>
  <c r="J27" i="15"/>
  <c r="J28" i="15"/>
  <c r="X26" i="15"/>
  <c r="H34" i="27"/>
  <c r="D45" i="27"/>
  <c r="F27" i="15"/>
  <c r="J33" i="27"/>
  <c r="N35" i="27" s="1"/>
  <c r="N27" i="15"/>
  <c r="B29" i="15"/>
  <c r="B32" i="15" s="1"/>
  <c r="S21" i="15"/>
  <c r="T9" i="15"/>
  <c r="E31" i="15"/>
  <c r="F50" i="2"/>
  <c r="J50" i="2"/>
  <c r="P50" i="2"/>
  <c r="B31" i="15"/>
  <c r="F32" i="15"/>
  <c r="N28" i="15"/>
  <c r="L22" i="27"/>
  <c r="X32" i="27"/>
  <c r="L50" i="2"/>
  <c r="T50" i="2"/>
  <c r="F28" i="15"/>
  <c r="R50" i="2"/>
  <c r="N34" i="27" l="1"/>
  <c r="D34" i="27"/>
  <c r="L33" i="27"/>
  <c r="L43" i="27"/>
  <c r="F35" i="27"/>
  <c r="F34" i="27"/>
  <c r="B30" i="15"/>
  <c r="P39" i="27"/>
  <c r="J35" i="27"/>
  <c r="J36" i="27"/>
  <c r="J34" i="27"/>
  <c r="O35" i="27"/>
  <c r="B37" i="27"/>
  <c r="B40" i="27" s="1"/>
  <c r="J37" i="27"/>
  <c r="C4" i="9"/>
  <c r="B4" i="9" s="1"/>
  <c r="I2" i="9"/>
  <c r="I3" i="9" s="1"/>
  <c r="B3" i="9"/>
  <c r="X34" i="27" l="1"/>
  <c r="B38" i="27"/>
  <c r="L36" i="27"/>
  <c r="L34" i="27"/>
  <c r="L35" i="27"/>
  <c r="L37"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Hatch, Jenn (DOEE)</author>
    <author>tc={09349D20-5A97-4733-8B04-73B51BE22069}</author>
  </authors>
  <commentList>
    <comment ref="U10" authorId="0" shapeId="0" xr:uid="{88FAB521-06CD-4550-8B5A-71551ED5DCE8}">
      <text>
        <r>
          <rPr>
            <b/>
            <sz val="9"/>
            <color indexed="81"/>
            <rFont val="Tahoma"/>
            <family val="2"/>
          </rPr>
          <t>Hatch, Jenn (DOEE):</t>
        </r>
        <r>
          <rPr>
            <sz val="9"/>
            <color indexed="81"/>
            <rFont val="Tahoma"/>
            <family val="2"/>
          </rPr>
          <t xml:space="preserve">
Updated July 2020 with revised data
</t>
        </r>
      </text>
    </comment>
    <comment ref="X40" authorId="1" shapeId="0" xr:uid="{09349D20-5A97-4733-8B04-73B51BE22069}">
      <text>
        <t>[Threaded comment]
Your version of Excel allows you to read this threaded comment; however, any edits to it will get removed if the file is opened in a newer version of Excel. Learn more: https://go.microsoft.com/fwlink/?linkid=870924
Comment:
    this is a holdover from 2017 until we get 2018 data from DC Water</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Hatch, Jenn (DOEE)</author>
    <author>tc={066E831B-6A29-4366-B863-C541BD4BF8EA}</author>
  </authors>
  <commentList>
    <comment ref="S42" authorId="0" shapeId="0" xr:uid="{00000000-0006-0000-0200-000001000000}">
      <text>
        <r>
          <rPr>
            <b/>
            <sz val="9"/>
            <color indexed="81"/>
            <rFont val="Tahoma"/>
            <family val="2"/>
          </rPr>
          <t>Hatch, Jenn (DOEE):</t>
        </r>
        <r>
          <rPr>
            <sz val="9"/>
            <color indexed="81"/>
            <rFont val="Tahoma"/>
            <family val="2"/>
          </rPr>
          <t xml:space="preserve">
included in fleet totals
</t>
        </r>
      </text>
    </comment>
    <comment ref="X43" authorId="1" shapeId="0" xr:uid="{066E831B-6A29-4366-B863-C541BD4BF8EA}">
      <text>
        <t>[Threaded comment]
Your version of Excel allows you to read this threaded comment; however, any edits to it will get removed if the file is opened in a newer version of Excel. Learn more: https://go.microsoft.com/fwlink/?linkid=870924
Comment:
    Held over from 2017 pending new data from DC Water</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DeSousa, Kehan (DOEE)</author>
  </authors>
  <commentList>
    <comment ref="K6" authorId="0" shapeId="0" xr:uid="{00000000-0006-0000-0300-000001000000}">
      <text>
        <r>
          <rPr>
            <b/>
            <sz val="9"/>
            <color indexed="81"/>
            <rFont val="Tahoma"/>
            <family val="2"/>
          </rPr>
          <t>DeSousa, Kehan (DOEE):</t>
        </r>
        <r>
          <rPr>
            <sz val="9"/>
            <color indexed="81"/>
            <rFont val="Tahoma"/>
            <family val="2"/>
          </rPr>
          <t xml:space="preserve">
Based on estimates from UDC</t>
        </r>
      </text>
    </comment>
    <comment ref="M6" authorId="0" shapeId="0" xr:uid="{00000000-0006-0000-0300-000002000000}">
      <text>
        <r>
          <rPr>
            <b/>
            <sz val="9"/>
            <color indexed="81"/>
            <rFont val="Tahoma"/>
            <family val="2"/>
          </rPr>
          <t>DeSousa, Kehan (DOEE):</t>
        </r>
        <r>
          <rPr>
            <sz val="9"/>
            <color indexed="81"/>
            <rFont val="Tahoma"/>
            <family val="2"/>
          </rPr>
          <t xml:space="preserve">
Based on an estimate from UDC.</t>
        </r>
      </text>
    </comment>
    <comment ref="K20" authorId="0" shapeId="0" xr:uid="{00000000-0006-0000-0300-000003000000}">
      <text>
        <r>
          <rPr>
            <b/>
            <sz val="9"/>
            <color indexed="81"/>
            <rFont val="Tahoma"/>
            <family val="2"/>
          </rPr>
          <t>DeSousa, Kehan (DOEE):</t>
        </r>
        <r>
          <rPr>
            <sz val="9"/>
            <color indexed="81"/>
            <rFont val="Tahoma"/>
            <family val="2"/>
          </rPr>
          <t xml:space="preserve">
Missing the off-road estimate for ethanol. </t>
        </r>
      </text>
    </comment>
    <comment ref="K23" authorId="0" shapeId="0" xr:uid="{00000000-0006-0000-0300-000004000000}">
      <text>
        <r>
          <rPr>
            <b/>
            <sz val="9"/>
            <color indexed="81"/>
            <rFont val="Tahoma"/>
            <family val="2"/>
          </rPr>
          <t>DeSousa, Kehan (DOEE):</t>
        </r>
        <r>
          <rPr>
            <sz val="9"/>
            <color indexed="81"/>
            <rFont val="Tahoma"/>
            <family val="2"/>
          </rPr>
          <t xml:space="preserve">
Missing</t>
        </r>
      </text>
    </comment>
    <comment ref="K27" authorId="0" shapeId="0" xr:uid="{00000000-0006-0000-0300-000005000000}">
      <text>
        <r>
          <rPr>
            <b/>
            <sz val="9"/>
            <color indexed="81"/>
            <rFont val="Tahoma"/>
            <family val="2"/>
          </rPr>
          <t>DeSousa, Kehan (DOEE):</t>
        </r>
        <r>
          <rPr>
            <sz val="9"/>
            <color indexed="81"/>
            <rFont val="Tahoma"/>
            <family val="2"/>
          </rPr>
          <t xml:space="preserve">
Missing</t>
        </r>
      </text>
    </comment>
    <comment ref="K30" authorId="0" shapeId="0" xr:uid="{00000000-0006-0000-0300-000006000000}">
      <text>
        <r>
          <rPr>
            <b/>
            <sz val="9"/>
            <color indexed="81"/>
            <rFont val="Tahoma"/>
            <family val="2"/>
          </rPr>
          <t>DeSousa, Kehan (DOEE):</t>
        </r>
        <r>
          <rPr>
            <sz val="9"/>
            <color indexed="81"/>
            <rFont val="Tahoma"/>
            <family val="2"/>
          </rPr>
          <t xml:space="preserve">
Not sure about this number.</t>
        </r>
      </text>
    </comment>
  </commentList>
</comments>
</file>

<file path=xl/sharedStrings.xml><?xml version="1.0" encoding="utf-8"?>
<sst xmlns="http://schemas.openxmlformats.org/spreadsheetml/2006/main" count="797" uniqueCount="185">
  <si>
    <t>Sector</t>
  </si>
  <si>
    <t>Units</t>
  </si>
  <si>
    <t>Consumptions</t>
  </si>
  <si>
    <t>CO2</t>
  </si>
  <si>
    <t>CH4</t>
  </si>
  <si>
    <t>N20</t>
  </si>
  <si>
    <t>Co2e</t>
  </si>
  <si>
    <t>Buildings &amp; Energy</t>
  </si>
  <si>
    <t>Residential</t>
  </si>
  <si>
    <t>Non-Residential</t>
  </si>
  <si>
    <t>GSA</t>
  </si>
  <si>
    <t>Gas</t>
  </si>
  <si>
    <t>Electricity</t>
  </si>
  <si>
    <t>Fuel Oil</t>
  </si>
  <si>
    <t>Transportation</t>
  </si>
  <si>
    <t>Transit (Electricity)</t>
  </si>
  <si>
    <t>Buildings &amp; Energy (Subtotal)</t>
  </si>
  <si>
    <t>Gasoline</t>
  </si>
  <si>
    <t>Diesel</t>
  </si>
  <si>
    <t>On-Road</t>
  </si>
  <si>
    <t>Transportation Subtotal</t>
  </si>
  <si>
    <t>Waste</t>
  </si>
  <si>
    <t>Landfill</t>
  </si>
  <si>
    <t>Incineration</t>
  </si>
  <si>
    <t>Tons</t>
  </si>
  <si>
    <t>Waste Subtotal</t>
  </si>
  <si>
    <t>TOTAL</t>
  </si>
  <si>
    <t>Therms</t>
  </si>
  <si>
    <t>KWh</t>
  </si>
  <si>
    <t>Gallons</t>
  </si>
  <si>
    <t>VMT</t>
  </si>
  <si>
    <t>NOTES</t>
  </si>
  <si>
    <t>CO2e for all years is calculated using the GWP for CH4 and N20 determined by the IPCC 4th Assessment as recommended by the EPA. Previous inventories (2006-2011) had used the IPCC 2nd assessment values and were revised accordingly. http://www.epa.gov/climateleadership/documents/emission-factors.pdf</t>
  </si>
  <si>
    <t>Kerosene</t>
  </si>
  <si>
    <t>Emissions from the incineration of MSW for 2009-2011 were adjusted to include non-biogenic CO2 which had erroneously been ommitted in the previous inventory.</t>
  </si>
  <si>
    <t>2011 electricity emission factor adjusted from what was previously reported to reflect latest data available from EPA (eGRID version 1.0 with data from 2010)</t>
  </si>
  <si>
    <t>2013 Change from 2006</t>
  </si>
  <si>
    <t>2013 Change from 2011</t>
  </si>
  <si>
    <t>Consumption</t>
  </si>
  <si>
    <t>Solid Waste</t>
  </si>
  <si>
    <t>GSA energy consumption does not include steam and chilled water purchases from Central Heating plant as the natural gas used by the heating plant is accounted for under non-residential natural gas sales. This reflects a correction from previous inventories which had erroneously double counted the emisisons from the steam purchases and generaiton.</t>
  </si>
  <si>
    <t>Change from 2006 Baseline</t>
  </si>
  <si>
    <t xml:space="preserve">Fuel oil consumption was revised for 2006 to 2011 to reflect updated data available from EIA and to correct erroneous inclusion of fuel oil for sectors other than commercial and industrial buildings and off-road highway (e.g. construction equipment). This had resulted in double counting as, for example, fuel oil used by the electric power sector (the now closed electricity generating units located in the District were powered by fuel oil) was included. These emissions had already been accounted for by electricity purchases. </t>
  </si>
  <si>
    <t>All fuel oil, unless otherwise noted is Distallate Fuel Oil No. 2</t>
  </si>
  <si>
    <t>Annual Change 2006-2013</t>
  </si>
  <si>
    <t>2015 Projection</t>
  </si>
  <si>
    <t>2015 Emissions Budget</t>
  </si>
  <si>
    <t>2015 Projected Emisisons</t>
  </si>
  <si>
    <t>Year</t>
  </si>
  <si>
    <t>Buildings &amp; Facilities</t>
  </si>
  <si>
    <t>Steam</t>
  </si>
  <si>
    <t>Buildings &amp; Facilities Subtotal</t>
  </si>
  <si>
    <t>Streetlights &amp; Traffic Signals</t>
  </si>
  <si>
    <t>Streetlights &amp; Traffic Signals Subtotal</t>
  </si>
  <si>
    <t>Solid Waste Subtotal</t>
  </si>
  <si>
    <t>Fleet</t>
  </si>
  <si>
    <t>Fleet Subtotal</t>
  </si>
  <si>
    <t>Water &amp; Wastewater</t>
  </si>
  <si>
    <t>Process Emissions</t>
  </si>
  <si>
    <t>Water &amp; Wastewater Subtotal</t>
  </si>
  <si>
    <t>Employee Commute</t>
  </si>
  <si>
    <t>Employee Commute Subtotal</t>
  </si>
  <si>
    <t xml:space="preserve">CNG </t>
  </si>
  <si>
    <t>Biodiesel</t>
  </si>
  <si>
    <t>Ethanol</t>
  </si>
  <si>
    <t>Off-Road</t>
  </si>
  <si>
    <t>Natural Gas</t>
  </si>
  <si>
    <t>Fugitive Emissions</t>
  </si>
  <si>
    <t>metric tons</t>
  </si>
  <si>
    <t>Change from Previous Year</t>
  </si>
  <si>
    <t>thousand lbs</t>
  </si>
  <si>
    <t xml:space="preserve">Population Data is from U.S. Census Bureau’s Population Estimates Program (PEP) </t>
  </si>
  <si>
    <t xml:space="preserve">Workfoce Data is from the U.S. Bureau of Labor Statistics State and County Employment </t>
  </si>
  <si>
    <t>CO2 lbs/MWh</t>
  </si>
  <si>
    <t>CH4 lbs/GWh</t>
  </si>
  <si>
    <t>Total Emissions</t>
  </si>
  <si>
    <t>Change due to Cleaner Electricity</t>
  </si>
  <si>
    <t>kWh</t>
  </si>
  <si>
    <t>Miles per gallon factors used to calculate emissions from on-road transportation were updated for all years to reflect the most recent data available from the Bureau of Transportation Statistics (passenger cars and light duty trucks) and the EIA Annual Energy Outlook (heavy duty trucks).</t>
  </si>
  <si>
    <t>Changes due to use, efficiency, etc.</t>
  </si>
  <si>
    <t>Change Due to 
Cleaner Electricity</t>
  </si>
  <si>
    <t>Scope 1</t>
  </si>
  <si>
    <t>Scope 2</t>
  </si>
  <si>
    <t>Scope 3</t>
  </si>
  <si>
    <t xml:space="preserve">VMT by vehicle and fuel type is not directly comparable between 2012-2013 and previous years because of changes to the modeled VMT data received by MWCOG for more recent years. MWCOG provided a more detailed breakdown of VMT by vehicle type (e.g. medium and heavy duty trucks).  This level of detail is not available for previous years, and it was determined that backcasting the data would have less than a 2% impact on emissions overall and for the transportation sector. </t>
  </si>
  <si>
    <t>MWh</t>
  </si>
  <si>
    <t>VMT (millions)</t>
  </si>
  <si>
    <t>GGE</t>
  </si>
  <si>
    <t>Total Diesel (bio and conventional) Emissions</t>
  </si>
  <si>
    <t>Total Diesel (bio and conventional) Consumption</t>
  </si>
  <si>
    <t>Fugitive Refrigerant Emissions</t>
  </si>
  <si>
    <t xml:space="preserve">   Natural Gas Distribution</t>
  </si>
  <si>
    <t>Fugitive Emissions &amp; Upstream Impacts of Activities</t>
  </si>
  <si>
    <t xml:space="preserve">Therms </t>
  </si>
  <si>
    <t xml:space="preserve"> </t>
  </si>
  <si>
    <t>-</t>
  </si>
  <si>
    <t xml:space="preserve">Process emissions </t>
  </si>
  <si>
    <t>Gridloss from Gov't Electricity</t>
  </si>
  <si>
    <t>MT</t>
  </si>
  <si>
    <t xml:space="preserve"> Grid loss</t>
  </si>
  <si>
    <t xml:space="preserve">       Grid loss from transit (WMATA)</t>
  </si>
  <si>
    <t>Grid loss</t>
  </si>
  <si>
    <t>Grid Loss</t>
  </si>
  <si>
    <t>Data Source</t>
  </si>
  <si>
    <t>Notes</t>
  </si>
  <si>
    <t>Washington Gas via MWCOG</t>
  </si>
  <si>
    <t>Pepco via MWCOG</t>
  </si>
  <si>
    <t>EIA.gov</t>
  </si>
  <si>
    <t xml:space="preserve">       Grid loss from transit</t>
  </si>
  <si>
    <t>WMATA</t>
  </si>
  <si>
    <t>MWCOG</t>
  </si>
  <si>
    <t>DOEE calculated based on VMT</t>
  </si>
  <si>
    <t>DPW</t>
  </si>
  <si>
    <t>calculated using EPA eGRID</t>
  </si>
  <si>
    <t>Confidence</t>
  </si>
  <si>
    <t>High</t>
  </si>
  <si>
    <t>Low</t>
  </si>
  <si>
    <t>Medium</t>
  </si>
  <si>
    <t>DC Water</t>
  </si>
  <si>
    <t>multiple</t>
  </si>
  <si>
    <t>Government Operation Inventory Methodology Notes</t>
  </si>
  <si>
    <t>Converted to therms from MMBTU; collected to understand Federal footprint in DC</t>
  </si>
  <si>
    <t>GSA reported that it now only uses fuel oil in the event of severe weather emergencies and may not report usage every year; collected to understand Federal footprint in DC</t>
  </si>
  <si>
    <t>DGS, DCSC, Events DC, UDC, DCHA</t>
  </si>
  <si>
    <t>DGS, DCSC</t>
  </si>
  <si>
    <t>MMBTU</t>
  </si>
  <si>
    <t>DDOT</t>
  </si>
  <si>
    <t xml:space="preserve">DPW's contractor provides an annual report that matches the report in ClearPath to facilitate these calculations. </t>
  </si>
  <si>
    <t>metric tons HFCs</t>
  </si>
  <si>
    <t>Note: DC Water generates ~10MW electricity from their digesters which is behind-the-meter.</t>
  </si>
  <si>
    <t>DC Water uses a mix of different fuels</t>
  </si>
  <si>
    <t>calculation based on DCHR stats</t>
  </si>
  <si>
    <t>Transit Fleet</t>
  </si>
  <si>
    <t>DDOT - Circulator</t>
  </si>
  <si>
    <t>DC Streetcar &amp; DDOT</t>
  </si>
  <si>
    <t>DC Water is an instrumentality of the District government. While the Blue Plains Advanced Wastewater Treatment plant (located in the District) also treats wastewater from Fairfax County, we claim 100% of the energy consumed and emissions produced by DC Water's facilities.</t>
  </si>
  <si>
    <t>Currently we get data from DPW as they track waste brought to its transfer stations that are coming from DGS. Using DPW's waste characterization and final disposition % to landfill vs. incineration, we calculate the final disposition of that waste. In 2018 we should be getting better data from DGS directly as to waste hauled from DCHA properties and potentially DCPS properties to better capture diversion especially from school cafeterias (organics composting) and schools generally (recycling). The District operates no landfills or incinerators within the city, so all are Scope 3.</t>
  </si>
  <si>
    <t xml:space="preserve">TOTAL </t>
  </si>
  <si>
    <t>DC Water Grid Loss</t>
  </si>
  <si>
    <t xml:space="preserve">Fugitive Emissions </t>
  </si>
  <si>
    <t>DC Circulator</t>
  </si>
  <si>
    <t>DC Streetcar Electricity</t>
  </si>
  <si>
    <t>Total Residential Electricity Used</t>
  </si>
  <si>
    <t>Compost</t>
  </si>
  <si>
    <t>Prior to 2014 local estimates of leakage rates for the District were not available and the inventory was calculated using the national default factor of 0.3% for local distribution systems, as outlined in the EDF User Guide for Natural Gas Leakage Rate Modeling Tool, based on US EPA data, for 2006 - 2013. Washington Gas provided, and will continue to provide, local leakage figures from 2014 on based on their Subpart W reporting requirements (all calculations provided in their spreadsheet). Data before 2014 is therefore not comparable to data from 2014 to present.</t>
  </si>
  <si>
    <t>Washington Gas</t>
  </si>
  <si>
    <t>Residential Subtotal</t>
  </si>
  <si>
    <t>Non-Residential Subtotal</t>
  </si>
  <si>
    <t>GSA Subtotal</t>
  </si>
  <si>
    <t>Buildings &amp; Energy Subtotal</t>
  </si>
  <si>
    <t>Fugitive Emissions Subtotal</t>
  </si>
  <si>
    <t xml:space="preserve">Buildings &amp; Facilities Total </t>
  </si>
  <si>
    <t>Total Non-Residential Electricity Used</t>
  </si>
  <si>
    <t>Citywide Inventory Methodology</t>
  </si>
  <si>
    <t>Includes all Residential and Commercial Condominiums (large, medium, and small).</t>
  </si>
  <si>
    <t>Report is "Distillate Fuel Oil and Kerosene Sales by End Use"</t>
  </si>
  <si>
    <t>Includes Commercial (except for Condominiums) and Industrial.</t>
  </si>
  <si>
    <t xml:space="preserve">Report is "Distillate Fuel Oil and Kerosene Sales by End Use." Non-Residential includes Commerical, Industrial, and Off-Highway. Off-highway fuel is included here because 98% of the fuel end-use in DC is for construction, mainly of buildings. </t>
  </si>
  <si>
    <t>Report is "Distillate Fuel Oil and Kerosene Sales by End Use." Non-Residential includes Commerical, Industrial, and Off-Highway</t>
  </si>
  <si>
    <t>Converted to kWh from MMBTU; collected to understand Federal footprint in DC</t>
  </si>
  <si>
    <t>MTCO2e</t>
  </si>
  <si>
    <t>Data for all streetlights and traffic lights is aggregated - does not distinguish between streetlight consumption vs. traffic signal consumption. Starting in 2016, we subtracted this number from the Building electricity figure, as DGS' figures includes these meters for street &amp; traffic lights so as not to double count.</t>
  </si>
  <si>
    <t>eGRID 2016 - RFC East grid loss factor; applied to building energy and streetlights/traffic lights - does not include DC Water as that grid loss is calculated separately in the Water/Wastewater inventory section</t>
  </si>
  <si>
    <t xml:space="preserve">Started including Streetcar data in 2017 inventory (which came online in 2016) and backcast for 2016; data available was in fiscal year so FY16 was used for 2016 and FY17 was used for 2017. </t>
  </si>
  <si>
    <t>Washington Gas Residential meters and 90% of Group Metered Apartments (consistent with MWCOG model and Washington Gas assumptions that most of these meters are residential.)</t>
  </si>
  <si>
    <t>Sum of Washington Gas's Commercial, Industrial meters, plus 10% of Group Metered Apartment meters.</t>
  </si>
  <si>
    <t xml:space="preserve"> n/a </t>
  </si>
  <si>
    <t xml:space="preserve">Events DC has historically only provided data for the Convention Center, therefore this does not include Nationals Park or RFK Stadium. In the future we plan to  capture these venues as well as Audi Field (which opened July 2018) for future inventories. </t>
  </si>
  <si>
    <t xml:space="preserve">Events DC has historically only provided data for the Convention Center, therefore this does not include Nationals Park or RFK Stadium. In the future we plan to  capture these venues as well as Audi Field (which opened July 2018) for future inventories.  Solar generated on DGS properties is included in this figure. </t>
  </si>
  <si>
    <t>The DC Circulator was brought under direct management control of DDOT in October 2018 and in accounting for its operations in the fleet, we have backcasted data to 2016, however data was not available for May - Sept 2017 and was estimated based on MPG. Currently the Circulator fleet operates 2 different diesel bus models, with different MPGs. These MPGs were averaged and that figure was used in the ICLEI Transportation factor set. CH4 and N20 information not available due to lack of VMT data. We hope to capture both gallons consumed and VMT for all Circulators in future inventories</t>
  </si>
  <si>
    <t>Modeled based on number of fleet vehicles.</t>
  </si>
  <si>
    <t>This relies on the last employee commute survey from DCHR (2009); based on those percentages, updated numbers of employees and which state they live in, and current vehicle fuel economy, we calculate these estimated statistics. We hope to get update commute information for employees in future.</t>
  </si>
  <si>
    <t>Calculated using VMT data, current vehicle fuel economy by vehicle classification, and the percentage of each vehicle type that is run on gas vs. diesel. In reporting gasoline, the calculations assume a 10% ethanol blend (national standard) for GPC compliance in reporting biogenic vs. non-biogenic sources. Note: vehicles by fuel type is from 2011 which is the last time MWCOG did an observed study. VMT calculations are not directly comparable between 2012 and later, and previous years because of changes to the modeled VMT data received by MWCOG for more recent years.</t>
  </si>
  <si>
    <t>updated to eGRID 2018 for 2018</t>
  </si>
  <si>
    <t>Neither the District nor the regional Council of Governments (MWCOG) have included rail transportation in the District's inventory to date due to data and the short distances each rail service travels within the District boundary. We do, however, have Amtrak, and 2 commuter rail lines (MARC to/from Maryland; VRE to/from Virginia) with stops in the District. Additionally, DC operates a light rail streetcar, which opened in February 2016. In this inventory, electricity used to power the DC Streetcar is included in transportation electricity consumption for 2018.
No data from ships/boats is captured, aside from any fuel that may be purchased in the District and captured in the EIA fuel consumption data. The District does not have a port, and has limited commercial water taxi/sightseeing operations which also serve MD and VA.</t>
  </si>
  <si>
    <t xml:space="preserve">This calculation captures electricity used to operate the DC Streetcar and the electric DC Circulator buses (DDOT) and both the traction and non-traction power to run WMATA's Metrorail trains in the District. DC Streetcar began operations in 2016 and the electric DC Circulator buses began service in 2018. Data from 2013 - 2018 includes measured data for both WMATA traction &amp; non-traction power (added in the 2018 inventory year/CY2020 and measured &amp; adjusted back to 2013), facilitated by WMATA's improvements in their energy data management system allowing us to isolate non-traction power localized to the District. Data from 2006 - 2012 was calculated with measured traction power and estimated non-traction power (WMATA's total non-traction power (kWh) x the % of WMATA's budget paid for by DC) as WMATA was unable to isolate DC's portion of the system usage during that time. </t>
  </si>
  <si>
    <t>Modeled estimates based on the 2016 Constrained Long-Range Plan, 2016 Vehicle Registration Data, 2014a MOVES model.</t>
  </si>
  <si>
    <t>The methodology for waste calculations changed and improved beginning in the 2018 inventory year, due to an updated waste characterization study from DPW. This study provides a more detailed estimate of the volume of the total waste stream (including privately-managed MSW) and an improved estimate regarding the percent of MSW sent to landfill vs. incineration. Data from 2018 is not comparable to prior years owing to the following changes. Prior to 2018, DPW provided tonnage by disposition for the solid waste that they manage (&lt;4 unit residential, government). However, they had not had data from the private haulers who manage commercial properties and residential buildings with 4+ units. Therefore we had made an assumption (since 2006) that DPW's volume of solid waste equates that picked up by private haulers, so that the total tonnage produced by the District is double that which DPW reports. Due to lack of data as to where private haulers dispose of waste, we had previously assumed 100% was landfilled in sites outside the District. Additionally, prior to the 2018 waste characterization study, we had used national modeling to break down materials into the characterization necessary for the Clear Path calculator.</t>
  </si>
  <si>
    <t>Covanta's Lorton waste-to-energy facility, to which DPW was sending waste, went off-line in February 2017 and did not resume operations until the end of December 2017. While the facility was off-line, all trash produced in the District was landfilled.</t>
  </si>
  <si>
    <t>N20 Emissions from nitrification/denitrification; Effluent discharge emissions; emissions associated with addition of methanol.   Confidence reflects that because of changing technology and processess, both ICLEI's models and DC Water's data have continued to make revisions to improve accuracy. Though DC Water's Blue Plains Advanced Wastewater Treatment facility treats wastewater from both the District and Fairfax County, we capture the total of DC Water's emissions in this inventory, as it is located in-boundary.</t>
  </si>
  <si>
    <t>Updated August 2020</t>
  </si>
  <si>
    <t>Updated September 2020</t>
  </si>
  <si>
    <t>N20 Emissions from nitrification/denitrification; Effluent discharge emissions; emissions associated with addition of methanol. Confidence reflects that because of changing technology and processess, both ICLEI's models and DC Water's data have continued to make revisions to improve accuracy.</t>
  </si>
  <si>
    <t>The DC Superior Courts are on the Federal Steam Loop and receive a monthly bill, but no consumption information. They have consistently provided us a consumption estimate based on their estimate of price per kBTU. Medium confidence because we don't have consumption data, however we do not anticipate this changing.</t>
  </si>
  <si>
    <t>EPA eGRID for RFCE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</si>
</sst>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_);_(* \(#,##0\);_(* &quot;-&quot;??_);_(@_)"/>
    <numFmt numFmtId="167" formatCode="_(* #,##0.0_);_(* \(#,##0.0\);_(* &quot;-&quot;??_);_(@_)"/>
    <numFmt numFmtId="168" formatCode="#,##0.0"/>
  </numFmts>
  <fonts count="59" x14ac:knownFonts="1">
    <font>
      <sz val="11"/>
      <color theme="1"/>
      <name val="Calibri"/>
      <family val="2"/>
      <scheme val="minor"/>
    </font>
    <font>
      <b/>
      <sz val="11"/>
      <color theme="1"/>
      <name val="Calibri"/>
      <family val="2"/>
      <scheme val="minor"/>
    </font>
    <font>
      <sz val="9"/>
      <color rgb="FF222222"/>
      <name val="Arial"/>
      <family val="2"/>
    </font>
    <font>
      <sz val="11"/>
      <color theme="1"/>
      <name val="Calibri"/>
      <family val="2"/>
      <scheme val="minor"/>
    </font>
    <font>
      <i/>
      <sz val="11"/>
      <color theme="1"/>
      <name val="Calibri"/>
      <family val="2"/>
      <scheme val="minor"/>
    </font>
    <font>
      <sz val="10"/>
      <name val="Arial"/>
      <family val="2"/>
    </font>
    <font>
      <sz val="11"/>
      <name val="Arial"/>
      <family val="1"/>
    </font>
    <font>
      <sz val="10"/>
      <name val="MS Sans Serif"/>
      <family val="2"/>
    </font>
    <font>
      <sz val="9"/>
      <color indexed="81"/>
      <name val="Tahoma"/>
      <family val="2"/>
    </font>
    <font>
      <b/>
      <sz val="9"/>
      <color indexed="81"/>
      <name val="Tahoma"/>
      <family val="2"/>
    </font>
    <font>
      <sz val="11"/>
      <name val="Calibri"/>
      <family val="2"/>
      <scheme val="minor"/>
    </font>
    <font>
      <b/>
      <sz val="11"/>
      <color theme="0"/>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2"/>
      <color theme="1"/>
      <name val="Calibri"/>
      <family val="2"/>
      <scheme val="minor"/>
    </font>
    <font>
      <sz val="18"/>
      <color theme="1"/>
      <name val="Calibri"/>
      <family val="2"/>
      <scheme val="minor"/>
    </font>
    <font>
      <sz val="18"/>
      <color theme="3"/>
      <name val="Calibri Light"/>
      <family val="2"/>
      <scheme val="major"/>
    </font>
    <font>
      <sz val="10"/>
      <color indexed="8"/>
      <name val="Arial"/>
      <family val="2"/>
    </font>
    <font>
      <sz val="12"/>
      <color theme="1"/>
      <name val="Arial"/>
      <family val="2"/>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sz val="11"/>
      <color rgb="FF222222"/>
      <name val="Calibri"/>
      <family val="2"/>
      <scheme val="minor"/>
    </font>
    <font>
      <sz val="10"/>
      <color indexed="8"/>
      <name val="Arial"/>
      <family val="2"/>
    </font>
    <font>
      <sz val="10"/>
      <name val="Verdana"/>
      <family val="2"/>
    </font>
    <font>
      <u/>
      <sz val="11"/>
      <color theme="10"/>
      <name val="Calibri"/>
      <family val="2"/>
    </font>
    <font>
      <sz val="11"/>
      <color rgb="FF000000"/>
      <name val="Calibri"/>
      <family val="2"/>
      <scheme val="minor"/>
    </font>
    <font>
      <sz val="11"/>
      <color indexed="8"/>
      <name val="Calibri"/>
      <family val="2"/>
      <scheme val="minor"/>
    </font>
    <font>
      <sz val="10"/>
      <color indexed="8"/>
      <name val="Arial"/>
      <family val="2"/>
    </font>
    <font>
      <b/>
      <sz val="12"/>
      <color theme="1"/>
      <name val="Calibri"/>
      <family val="2"/>
      <scheme val="minor"/>
    </font>
    <font>
      <sz val="10"/>
      <color indexed="8"/>
      <name val="Arial"/>
      <family val="2"/>
    </font>
    <font>
      <u/>
      <sz val="11"/>
      <color theme="10"/>
      <name val="Calibri"/>
      <family val="2"/>
      <scheme val="minor"/>
    </font>
    <font>
      <b/>
      <sz val="14"/>
      <color theme="1"/>
      <name val="Calibri"/>
      <family val="2"/>
      <scheme val="minor"/>
    </font>
    <font>
      <b/>
      <sz val="16"/>
      <color theme="1"/>
      <name val="Calibri"/>
      <family val="2"/>
      <scheme val="minor"/>
    </font>
    <font>
      <sz val="9"/>
      <color indexed="81"/>
      <name val="Tahoma"/>
      <charset val="1"/>
    </font>
  </fonts>
  <fills count="52">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0"/>
        <bgColor indexed="64"/>
      </patternFill>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rgb="FFDDC4FC"/>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rgb="FFE5A9A9"/>
        <bgColor indexed="64"/>
      </patternFill>
    </fill>
    <fill>
      <patternFill patternType="solid">
        <fgColor theme="2" tint="-9.9978637043366805E-2"/>
        <bgColor indexed="64"/>
      </patternFill>
    </fill>
    <fill>
      <patternFill patternType="solid">
        <fgColor rgb="FFDF9595"/>
        <bgColor indexed="64"/>
      </patternFill>
    </fill>
  </fills>
  <borders count="58">
    <border>
      <left/>
      <right/>
      <top/>
      <bottom/>
      <diagonal/>
    </border>
    <border>
      <left style="thin">
        <color indexed="64"/>
      </left>
      <right/>
      <top/>
      <bottom/>
      <diagonal/>
    </border>
    <border>
      <left/>
      <right style="thin">
        <color indexed="64"/>
      </right>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63">
    <xf numFmtId="0" fontId="0" fillId="0" borderId="0"/>
    <xf numFmtId="9" fontId="3" fillId="0" borderId="0" applyFont="0" applyFill="0" applyBorder="0" applyAlignment="0" applyProtection="0"/>
    <xf numFmtId="43" fontId="3" fillId="0" borderId="0" applyFont="0" applyFill="0" applyBorder="0" applyAlignment="0" applyProtection="0"/>
    <xf numFmtId="0" fontId="5" fillId="0" borderId="0"/>
    <xf numFmtId="0" fontId="6" fillId="0" borderId="0"/>
    <xf numFmtId="0" fontId="7"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12" fillId="0" borderId="0" applyNumberFormat="0" applyFill="0" applyBorder="0" applyAlignment="0" applyProtection="0"/>
    <xf numFmtId="0" fontId="13" fillId="0" borderId="36" applyNumberFormat="0" applyFill="0" applyAlignment="0" applyProtection="0"/>
    <xf numFmtId="0" fontId="14" fillId="0" borderId="37" applyNumberFormat="0" applyFill="0" applyAlignment="0" applyProtection="0"/>
    <xf numFmtId="0" fontId="15" fillId="0" borderId="38" applyNumberFormat="0" applyFill="0" applyAlignment="0" applyProtection="0"/>
    <xf numFmtId="0" fontId="15" fillId="0" borderId="0" applyNumberFormat="0" applyFill="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8" fillId="13" borderId="0" applyNumberFormat="0" applyBorder="0" applyAlignment="0" applyProtection="0"/>
    <xf numFmtId="0" fontId="19" fillId="14" borderId="39" applyNumberFormat="0" applyAlignment="0" applyProtection="0"/>
    <xf numFmtId="0" fontId="20" fillId="15" borderId="40" applyNumberFormat="0" applyAlignment="0" applyProtection="0"/>
    <xf numFmtId="0" fontId="21" fillId="15" borderId="39" applyNumberFormat="0" applyAlignment="0" applyProtection="0"/>
    <xf numFmtId="0" fontId="22" fillId="0" borderId="41" applyNumberFormat="0" applyFill="0" applyAlignment="0" applyProtection="0"/>
    <xf numFmtId="0" fontId="11" fillId="16" borderId="42" applyNumberFormat="0" applyAlignment="0" applyProtection="0"/>
    <xf numFmtId="0" fontId="23" fillId="0" borderId="0" applyNumberFormat="0" applyFill="0" applyBorder="0" applyAlignment="0" applyProtection="0"/>
    <xf numFmtId="0" fontId="3" fillId="17" borderId="43" applyNumberFormat="0" applyFont="0" applyAlignment="0" applyProtection="0"/>
    <xf numFmtId="0" fontId="24" fillId="0" borderId="0" applyNumberFormat="0" applyFill="0" applyBorder="0" applyAlignment="0" applyProtection="0"/>
    <xf numFmtId="0" fontId="1" fillId="0" borderId="44" applyNumberFormat="0" applyFill="0" applyAlignment="0" applyProtection="0"/>
    <xf numFmtId="0" fontId="25"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25" fillId="37" borderId="0" applyNumberFormat="0" applyBorder="0" applyAlignment="0" applyProtection="0"/>
    <xf numFmtId="0" fontId="25"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25" fillId="41" borderId="0" applyNumberFormat="0" applyBorder="0" applyAlignment="0" applyProtection="0"/>
    <xf numFmtId="0" fontId="5" fillId="0" borderId="0"/>
    <xf numFmtId="0" fontId="27" fillId="0" borderId="0"/>
    <xf numFmtId="0" fontId="3" fillId="0" borderId="0"/>
    <xf numFmtId="44" fontId="5"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7" fillId="12" borderId="0" applyNumberFormat="0" applyBorder="0" applyAlignment="0" applyProtection="0"/>
    <xf numFmtId="0" fontId="3" fillId="42" borderId="45"/>
    <xf numFmtId="0" fontId="3" fillId="0" borderId="0"/>
    <xf numFmtId="0" fontId="3" fillId="0" borderId="0"/>
    <xf numFmtId="43" fontId="27" fillId="0" borderId="0" applyFont="0" applyFill="0" applyBorder="0" applyAlignment="0" applyProtection="0"/>
    <xf numFmtId="44" fontId="27" fillId="0" borderId="0" applyFont="0" applyFill="0" applyBorder="0" applyAlignment="0" applyProtection="0"/>
    <xf numFmtId="0" fontId="28" fillId="0" borderId="0" applyNumberFormat="0" applyFill="0" applyBorder="0" applyAlignment="0" applyProtection="0"/>
    <xf numFmtId="0" fontId="29" fillId="0" borderId="0">
      <alignment vertical="top"/>
    </xf>
    <xf numFmtId="0" fontId="5" fillId="0" borderId="0"/>
    <xf numFmtId="0" fontId="7" fillId="0" borderId="0"/>
    <xf numFmtId="0" fontId="26" fillId="0" borderId="0"/>
    <xf numFmtId="43" fontId="26" fillId="0" borderId="0" applyFont="0" applyFill="0" applyBorder="0" applyAlignment="0" applyProtection="0"/>
    <xf numFmtId="0" fontId="30" fillId="0" borderId="0"/>
    <xf numFmtId="0" fontId="31" fillId="0" borderId="36" applyNumberFormat="0" applyFill="0" applyAlignment="0" applyProtection="0"/>
    <xf numFmtId="0" fontId="32" fillId="0" borderId="37" applyNumberFormat="0" applyFill="0" applyAlignment="0" applyProtection="0"/>
    <xf numFmtId="0" fontId="33" fillId="0" borderId="38" applyNumberFormat="0" applyFill="0" applyAlignment="0" applyProtection="0"/>
    <xf numFmtId="0" fontId="33" fillId="0" borderId="0" applyNumberFormat="0" applyFill="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6" fillId="13" borderId="0" applyNumberFormat="0" applyBorder="0" applyAlignment="0" applyProtection="0"/>
    <xf numFmtId="0" fontId="37" fillId="14" borderId="39" applyNumberFormat="0" applyAlignment="0" applyProtection="0"/>
    <xf numFmtId="0" fontId="38" fillId="15" borderId="40" applyNumberFormat="0" applyAlignment="0" applyProtection="0"/>
    <xf numFmtId="0" fontId="39" fillId="15" borderId="39" applyNumberFormat="0" applyAlignment="0" applyProtection="0"/>
    <xf numFmtId="0" fontId="40" fillId="0" borderId="41" applyNumberFormat="0" applyFill="0" applyAlignment="0" applyProtection="0"/>
    <xf numFmtId="0" fontId="41" fillId="16" borderId="42" applyNumberFormat="0" applyAlignment="0" applyProtection="0"/>
    <xf numFmtId="0" fontId="42" fillId="0" borderId="0" applyNumberFormat="0" applyFill="0" applyBorder="0" applyAlignment="0" applyProtection="0"/>
    <xf numFmtId="0" fontId="30" fillId="17" borderId="43" applyNumberFormat="0" applyFont="0" applyAlignment="0" applyProtection="0"/>
    <xf numFmtId="0" fontId="43" fillId="0" borderId="0" applyNumberFormat="0" applyFill="0" applyBorder="0" applyAlignment="0" applyProtection="0"/>
    <xf numFmtId="0" fontId="44" fillId="0" borderId="44" applyNumberFormat="0" applyFill="0" applyAlignment="0" applyProtection="0"/>
    <xf numFmtId="0" fontId="45"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30" fillId="35" borderId="0" applyNumberFormat="0" applyBorder="0" applyAlignment="0" applyProtection="0"/>
    <xf numFmtId="0" fontId="30"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45" fillId="41" borderId="0" applyNumberFormat="0" applyBorder="0" applyAlignment="0" applyProtection="0"/>
    <xf numFmtId="0" fontId="47" fillId="0" borderId="0">
      <alignment vertical="top"/>
    </xf>
    <xf numFmtId="44" fontId="29" fillId="0" borderId="0" applyFont="0" applyFill="0" applyBorder="0" applyAlignment="0" applyProtection="0">
      <alignment vertical="top"/>
    </xf>
    <xf numFmtId="43" fontId="29" fillId="0" borderId="0" applyFont="0" applyFill="0" applyBorder="0" applyAlignment="0" applyProtection="0"/>
    <xf numFmtId="9" fontId="29" fillId="0" borderId="0" applyFont="0" applyFill="0" applyBorder="0" applyAlignment="0" applyProtection="0"/>
    <xf numFmtId="0" fontId="48" fillId="0" borderId="0"/>
    <xf numFmtId="43" fontId="48" fillId="0" borderId="0" applyFont="0" applyFill="0" applyBorder="0" applyAlignment="0" applyProtection="0"/>
    <xf numFmtId="9" fontId="48" fillId="0" borderId="0" applyFont="0" applyFill="0" applyBorder="0" applyAlignment="0" applyProtection="0"/>
    <xf numFmtId="0" fontId="49" fillId="0" borderId="0" applyNumberFormat="0" applyFill="0" applyBorder="0" applyAlignment="0" applyProtection="0">
      <alignment vertical="top"/>
      <protection locked="0"/>
    </xf>
    <xf numFmtId="0" fontId="50" fillId="0" borderId="0"/>
    <xf numFmtId="0" fontId="29" fillId="0" borderId="0">
      <alignment vertical="top"/>
    </xf>
    <xf numFmtId="0" fontId="29" fillId="0" borderId="0">
      <alignment vertical="top"/>
    </xf>
    <xf numFmtId="0" fontId="50" fillId="0" borderId="0"/>
    <xf numFmtId="0" fontId="3" fillId="0" borderId="0"/>
    <xf numFmtId="9" fontId="5" fillId="0" borderId="0" applyFont="0" applyFill="0" applyBorder="0" applyAlignment="0" applyProtection="0">
      <alignment vertical="center"/>
    </xf>
    <xf numFmtId="42" fontId="5" fillId="0" borderId="0" applyFont="0" applyFill="0" applyBorder="0" applyAlignment="0" applyProtection="0">
      <alignment vertical="center"/>
    </xf>
    <xf numFmtId="44" fontId="5" fillId="0" borderId="0" applyFont="0" applyFill="0" applyBorder="0" applyAlignment="0" applyProtection="0">
      <alignment vertical="center"/>
    </xf>
    <xf numFmtId="43" fontId="5" fillId="0" borderId="0" applyFont="0" applyFill="0" applyBorder="0" applyAlignment="0" applyProtection="0">
      <alignment vertical="center"/>
    </xf>
    <xf numFmtId="41" fontId="5" fillId="0" borderId="0" applyFont="0" applyFill="0" applyBorder="0" applyAlignment="0" applyProtection="0">
      <alignment vertical="center"/>
    </xf>
    <xf numFmtId="0" fontId="5" fillId="0" borderId="0">
      <alignment vertical="center"/>
    </xf>
    <xf numFmtId="0" fontId="51" fillId="0" borderId="0"/>
    <xf numFmtId="0" fontId="52" fillId="0" borderId="0">
      <alignment vertical="top"/>
    </xf>
    <xf numFmtId="0" fontId="3" fillId="0" borderId="0"/>
    <xf numFmtId="0" fontId="29" fillId="0" borderId="0">
      <alignment vertical="top"/>
    </xf>
    <xf numFmtId="0" fontId="54" fillId="0" borderId="0">
      <alignment vertical="top"/>
    </xf>
    <xf numFmtId="0" fontId="55" fillId="0" borderId="0" applyNumberFormat="0" applyFill="0" applyBorder="0" applyAlignment="0" applyProtection="0"/>
    <xf numFmtId="0" fontId="29" fillId="0" borderId="0">
      <alignment vertical="top"/>
    </xf>
    <xf numFmtId="0" fontId="29" fillId="0" borderId="0">
      <alignment vertical="top"/>
    </xf>
    <xf numFmtId="0" fontId="29" fillId="0" borderId="0">
      <alignment vertical="top"/>
    </xf>
    <xf numFmtId="0" fontId="26" fillId="0" borderId="0"/>
    <xf numFmtId="9" fontId="26" fillId="0" borderId="0" applyFont="0" applyFill="0" applyBorder="0" applyAlignment="0" applyProtection="0"/>
    <xf numFmtId="0" fontId="12" fillId="0" borderId="0" applyNumberFormat="0" applyFill="0" applyBorder="0" applyAlignment="0" applyProtection="0"/>
    <xf numFmtId="0" fontId="13" fillId="0" borderId="36" applyNumberFormat="0" applyFill="0" applyAlignment="0" applyProtection="0"/>
    <xf numFmtId="0" fontId="14" fillId="0" borderId="37" applyNumberFormat="0" applyFill="0" applyAlignment="0" applyProtection="0"/>
    <xf numFmtId="0" fontId="15" fillId="0" borderId="38" applyNumberFormat="0" applyFill="0" applyAlignment="0" applyProtection="0"/>
    <xf numFmtId="0" fontId="15" fillId="0" borderId="0" applyNumberFormat="0" applyFill="0" applyBorder="0" applyAlignment="0" applyProtection="0"/>
    <xf numFmtId="0" fontId="18" fillId="13" borderId="0" applyNumberFormat="0" applyBorder="0" applyAlignment="0" applyProtection="0"/>
    <xf numFmtId="0" fontId="22" fillId="0" borderId="41" applyNumberFormat="0" applyFill="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 fillId="0" borderId="44" applyNumberFormat="0" applyFill="0" applyAlignment="0" applyProtection="0"/>
    <xf numFmtId="0" fontId="25" fillId="21"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37" borderId="0" applyNumberFormat="0" applyBorder="0" applyAlignment="0" applyProtection="0"/>
    <xf numFmtId="0" fontId="25" fillId="41" borderId="0" applyNumberFormat="0" applyBorder="0" applyAlignment="0" applyProtection="0"/>
    <xf numFmtId="9" fontId="3" fillId="0" borderId="0" applyFont="0" applyFill="0" applyBorder="0" applyAlignment="0" applyProtection="0"/>
  </cellStyleXfs>
  <cellXfs count="782">
    <xf numFmtId="0" fontId="0" fillId="0" borderId="0" xfId="0"/>
    <xf numFmtId="1" fontId="0" fillId="0" borderId="0" xfId="0" applyNumberFormat="1" applyBorder="1"/>
    <xf numFmtId="1" fontId="0" fillId="3" borderId="0" xfId="0" applyNumberFormat="1" applyFill="1" applyBorder="1"/>
    <xf numFmtId="1" fontId="1" fillId="4" borderId="0" xfId="0" applyNumberFormat="1" applyFont="1" applyFill="1" applyBorder="1"/>
    <xf numFmtId="1" fontId="1" fillId="0" borderId="3" xfId="0" applyNumberFormat="1" applyFont="1" applyBorder="1"/>
    <xf numFmtId="1" fontId="0" fillId="0" borderId="4" xfId="0" applyNumberFormat="1" applyBorder="1"/>
    <xf numFmtId="1" fontId="0" fillId="0" borderId="5" xfId="0" applyNumberFormat="1" applyBorder="1"/>
    <xf numFmtId="1" fontId="0" fillId="0" borderId="0" xfId="0" applyNumberFormat="1"/>
    <xf numFmtId="1" fontId="1" fillId="0" borderId="10" xfId="0" applyNumberFormat="1" applyFont="1" applyBorder="1"/>
    <xf numFmtId="1" fontId="1" fillId="0" borderId="11" xfId="0" applyNumberFormat="1" applyFont="1" applyBorder="1"/>
    <xf numFmtId="1" fontId="0" fillId="0" borderId="12" xfId="0" applyNumberFormat="1" applyBorder="1"/>
    <xf numFmtId="1" fontId="0" fillId="0" borderId="13" xfId="0" applyNumberFormat="1" applyBorder="1"/>
    <xf numFmtId="1" fontId="0" fillId="0" borderId="14" xfId="0" applyNumberFormat="1" applyBorder="1"/>
    <xf numFmtId="1" fontId="1" fillId="2" borderId="1" xfId="0" applyNumberFormat="1" applyFont="1" applyFill="1" applyBorder="1"/>
    <xf numFmtId="1" fontId="1" fillId="2" borderId="0" xfId="0" applyNumberFormat="1" applyFont="1" applyFill="1" applyBorder="1"/>
    <xf numFmtId="1" fontId="1" fillId="2" borderId="2" xfId="0" applyNumberFormat="1" applyFont="1" applyFill="1" applyBorder="1"/>
    <xf numFmtId="1" fontId="0" fillId="0" borderId="0" xfId="0" applyNumberFormat="1" applyAlignment="1">
      <alignment horizontal="left" indent="1"/>
    </xf>
    <xf numFmtId="1" fontId="0" fillId="0" borderId="1" xfId="0" applyNumberFormat="1" applyBorder="1"/>
    <xf numFmtId="1" fontId="0" fillId="0" borderId="2" xfId="0" applyNumberFormat="1" applyBorder="1"/>
    <xf numFmtId="1" fontId="1" fillId="3" borderId="0" xfId="0" applyNumberFormat="1" applyFont="1" applyFill="1"/>
    <xf numFmtId="1" fontId="0" fillId="3" borderId="2" xfId="0" applyNumberFormat="1" applyFill="1" applyBorder="1"/>
    <xf numFmtId="1" fontId="1" fillId="4" borderId="1" xfId="0" applyNumberFormat="1" applyFont="1" applyFill="1" applyBorder="1"/>
    <xf numFmtId="1" fontId="1" fillId="4" borderId="2" xfId="0" applyNumberFormat="1" applyFont="1" applyFill="1" applyBorder="1"/>
    <xf numFmtId="9" fontId="0" fillId="0" borderId="1" xfId="1" applyFont="1" applyBorder="1"/>
    <xf numFmtId="165" fontId="0" fillId="0" borderId="1" xfId="1" applyNumberFormat="1" applyFont="1" applyBorder="1"/>
    <xf numFmtId="1" fontId="0" fillId="0" borderId="15" xfId="0" applyNumberFormat="1" applyBorder="1"/>
    <xf numFmtId="1" fontId="0" fillId="0" borderId="16" xfId="0" applyNumberFormat="1" applyBorder="1"/>
    <xf numFmtId="1" fontId="0" fillId="0" borderId="17" xfId="0" applyNumberFormat="1" applyBorder="1"/>
    <xf numFmtId="9" fontId="0" fillId="0" borderId="0" xfId="1" applyFont="1" applyBorder="1"/>
    <xf numFmtId="1" fontId="1" fillId="2" borderId="15" xfId="0" applyNumberFormat="1" applyFont="1" applyFill="1" applyBorder="1"/>
    <xf numFmtId="1" fontId="1" fillId="2" borderId="16" xfId="0" applyNumberFormat="1" applyFont="1" applyFill="1" applyBorder="1"/>
    <xf numFmtId="1" fontId="1" fillId="2" borderId="18" xfId="0" applyNumberFormat="1" applyFont="1" applyFill="1" applyBorder="1"/>
    <xf numFmtId="9" fontId="0" fillId="0" borderId="2" xfId="1" applyFont="1" applyBorder="1"/>
    <xf numFmtId="1" fontId="1" fillId="4" borderId="20" xfId="0" applyNumberFormat="1" applyFont="1" applyFill="1" applyBorder="1"/>
    <xf numFmtId="166" fontId="0" fillId="0" borderId="1" xfId="2" applyNumberFormat="1" applyFont="1" applyBorder="1"/>
    <xf numFmtId="1" fontId="0" fillId="0" borderId="0" xfId="0" applyNumberFormat="1" applyBorder="1" applyAlignment="1">
      <alignment horizontal="left" indent="1"/>
    </xf>
    <xf numFmtId="9" fontId="0" fillId="2" borderId="19" xfId="1" applyFont="1" applyFill="1" applyBorder="1"/>
    <xf numFmtId="9" fontId="0" fillId="2" borderId="20" xfId="1" applyFont="1" applyFill="1" applyBorder="1"/>
    <xf numFmtId="9" fontId="0" fillId="2" borderId="21" xfId="1" applyFont="1" applyFill="1" applyBorder="1"/>
    <xf numFmtId="1" fontId="1" fillId="0" borderId="22" xfId="0" applyNumberFormat="1" applyFont="1" applyBorder="1"/>
    <xf numFmtId="1" fontId="0" fillId="3" borderId="20" xfId="0" applyNumberFormat="1" applyFill="1" applyBorder="1"/>
    <xf numFmtId="1" fontId="4" fillId="0" borderId="0" xfId="0" applyNumberFormat="1" applyFont="1"/>
    <xf numFmtId="1" fontId="0" fillId="0" borderId="18" xfId="0" applyNumberFormat="1" applyBorder="1"/>
    <xf numFmtId="165" fontId="0" fillId="0" borderId="0" xfId="1" applyNumberFormat="1" applyFont="1" applyBorder="1"/>
    <xf numFmtId="9" fontId="0" fillId="3" borderId="15" xfId="1" applyFont="1" applyFill="1" applyBorder="1"/>
    <xf numFmtId="1" fontId="0" fillId="3" borderId="16" xfId="0" applyNumberFormat="1" applyFill="1" applyBorder="1"/>
    <xf numFmtId="1" fontId="0" fillId="3" borderId="18" xfId="0" applyNumberFormat="1" applyFill="1" applyBorder="1"/>
    <xf numFmtId="9" fontId="0" fillId="3" borderId="20" xfId="1" applyFont="1" applyFill="1" applyBorder="1"/>
    <xf numFmtId="9" fontId="0" fillId="3" borderId="21" xfId="1" applyFont="1" applyFill="1" applyBorder="1"/>
    <xf numFmtId="1" fontId="1" fillId="2" borderId="24" xfId="0" applyNumberFormat="1" applyFont="1" applyFill="1" applyBorder="1"/>
    <xf numFmtId="166" fontId="0" fillId="0" borderId="0" xfId="2" applyNumberFormat="1" applyFont="1"/>
    <xf numFmtId="9" fontId="1" fillId="0" borderId="1" xfId="1" applyFont="1" applyFill="1" applyBorder="1"/>
    <xf numFmtId="9" fontId="1" fillId="4" borderId="11" xfId="1" applyFont="1" applyFill="1" applyBorder="1"/>
    <xf numFmtId="9" fontId="1" fillId="4" borderId="22" xfId="1" applyFont="1" applyFill="1" applyBorder="1"/>
    <xf numFmtId="9" fontId="1" fillId="4" borderId="23" xfId="1" applyFont="1" applyFill="1" applyBorder="1"/>
    <xf numFmtId="9" fontId="1" fillId="4" borderId="2" xfId="1" applyFont="1" applyFill="1" applyBorder="1"/>
    <xf numFmtId="165" fontId="1" fillId="0" borderId="11" xfId="1" applyNumberFormat="1" applyFont="1" applyFill="1" applyBorder="1"/>
    <xf numFmtId="165" fontId="1" fillId="0" borderId="26" xfId="1" applyNumberFormat="1" applyFont="1" applyFill="1" applyBorder="1"/>
    <xf numFmtId="165" fontId="0" fillId="0" borderId="0" xfId="1" applyNumberFormat="1" applyFont="1"/>
    <xf numFmtId="1" fontId="1" fillId="0" borderId="26" xfId="0" applyNumberFormat="1" applyFont="1" applyBorder="1"/>
    <xf numFmtId="9" fontId="4" fillId="0" borderId="0" xfId="1" applyFont="1" applyBorder="1"/>
    <xf numFmtId="9" fontId="0" fillId="3" borderId="19" xfId="1" applyFont="1" applyFill="1" applyBorder="1"/>
    <xf numFmtId="9" fontId="1" fillId="0" borderId="13" xfId="1" applyFont="1" applyBorder="1"/>
    <xf numFmtId="1" fontId="1" fillId="0" borderId="0" xfId="0" applyNumberFormat="1" applyFont="1"/>
    <xf numFmtId="1" fontId="1" fillId="0" borderId="27" xfId="0" applyNumberFormat="1" applyFont="1" applyBorder="1"/>
    <xf numFmtId="1" fontId="0" fillId="0" borderId="3" xfId="0" applyNumberFormat="1" applyBorder="1"/>
    <xf numFmtId="165" fontId="0" fillId="0" borderId="3" xfId="1" applyNumberFormat="1" applyFont="1" applyBorder="1"/>
    <xf numFmtId="1" fontId="0" fillId="0" borderId="28" xfId="0" applyNumberFormat="1" applyBorder="1"/>
    <xf numFmtId="165" fontId="1" fillId="0" borderId="14" xfId="1" applyNumberFormat="1" applyFont="1" applyBorder="1"/>
    <xf numFmtId="1" fontId="1" fillId="2" borderId="11" xfId="0" applyNumberFormat="1" applyFont="1" applyFill="1" applyBorder="1"/>
    <xf numFmtId="1" fontId="0" fillId="2" borderId="23" xfId="0" applyNumberFormat="1" applyFill="1" applyBorder="1"/>
    <xf numFmtId="0" fontId="0" fillId="0" borderId="0" xfId="0" applyBorder="1"/>
    <xf numFmtId="1" fontId="1" fillId="3" borderId="11" xfId="0" applyNumberFormat="1" applyFont="1" applyFill="1" applyBorder="1"/>
    <xf numFmtId="0" fontId="0" fillId="0" borderId="11" xfId="0" applyBorder="1"/>
    <xf numFmtId="0" fontId="1" fillId="4" borderId="0" xfId="0" applyFont="1" applyFill="1"/>
    <xf numFmtId="0" fontId="0" fillId="4" borderId="0" xfId="0" applyFill="1"/>
    <xf numFmtId="0" fontId="1" fillId="4" borderId="11" xfId="0" applyFont="1" applyFill="1" applyBorder="1"/>
    <xf numFmtId="0" fontId="0" fillId="3" borderId="0" xfId="0" applyFill="1"/>
    <xf numFmtId="0" fontId="0" fillId="3" borderId="11" xfId="0" applyFill="1" applyBorder="1"/>
    <xf numFmtId="0" fontId="0" fillId="5" borderId="0" xfId="0" applyFill="1"/>
    <xf numFmtId="0" fontId="1" fillId="5" borderId="0" xfId="0" applyFont="1" applyFill="1"/>
    <xf numFmtId="0" fontId="1" fillId="5" borderId="11" xfId="0" applyFont="1" applyFill="1" applyBorder="1"/>
    <xf numFmtId="0" fontId="0" fillId="5" borderId="11" xfId="0" applyFill="1" applyBorder="1"/>
    <xf numFmtId="1" fontId="0" fillId="0" borderId="24" xfId="0" applyNumberFormat="1" applyBorder="1"/>
    <xf numFmtId="1" fontId="1" fillId="0" borderId="23" xfId="0" applyNumberFormat="1" applyFont="1" applyBorder="1"/>
    <xf numFmtId="1" fontId="0" fillId="0" borderId="2" xfId="0" applyNumberFormat="1" applyFill="1" applyBorder="1"/>
    <xf numFmtId="0" fontId="0" fillId="3" borderId="2" xfId="0" applyFill="1" applyBorder="1"/>
    <xf numFmtId="0" fontId="0" fillId="3" borderId="23" xfId="0" applyFill="1" applyBorder="1"/>
    <xf numFmtId="0" fontId="0" fillId="4" borderId="2" xfId="0" applyFill="1" applyBorder="1"/>
    <xf numFmtId="0" fontId="0" fillId="4" borderId="23" xfId="0" applyFill="1" applyBorder="1"/>
    <xf numFmtId="0" fontId="0" fillId="5" borderId="2" xfId="0" applyFill="1" applyBorder="1"/>
    <xf numFmtId="0" fontId="0" fillId="5" borderId="23" xfId="0" applyFill="1" applyBorder="1"/>
    <xf numFmtId="0" fontId="0" fillId="0" borderId="1" xfId="0" applyBorder="1"/>
    <xf numFmtId="0" fontId="0" fillId="0" borderId="2" xfId="0" applyBorder="1"/>
    <xf numFmtId="0" fontId="0" fillId="3" borderId="1" xfId="0" applyFill="1" applyBorder="1"/>
    <xf numFmtId="0" fontId="0" fillId="3" borderId="22" xfId="0" applyFill="1" applyBorder="1"/>
    <xf numFmtId="0" fontId="0" fillId="4" borderId="1" xfId="0" applyFill="1" applyBorder="1"/>
    <xf numFmtId="0" fontId="0" fillId="4" borderId="22" xfId="0" applyFill="1" applyBorder="1"/>
    <xf numFmtId="0" fontId="0" fillId="5" borderId="0" xfId="0" applyFill="1" applyBorder="1"/>
    <xf numFmtId="0" fontId="0" fillId="0" borderId="0" xfId="0" applyAlignment="1">
      <alignment horizontal="left" indent="1"/>
    </xf>
    <xf numFmtId="0" fontId="0" fillId="0" borderId="0" xfId="0" applyAlignment="1">
      <alignment horizontal="left" indent="2"/>
    </xf>
    <xf numFmtId="1" fontId="0" fillId="0" borderId="0" xfId="0" applyNumberFormat="1" applyFill="1" applyBorder="1" applyAlignment="1">
      <alignment horizontal="left" indent="1"/>
    </xf>
    <xf numFmtId="0" fontId="1" fillId="6" borderId="11" xfId="0" applyFont="1" applyFill="1" applyBorder="1"/>
    <xf numFmtId="0" fontId="0" fillId="5" borderId="24" xfId="0" applyFill="1" applyBorder="1"/>
    <xf numFmtId="0" fontId="1" fillId="6" borderId="23" xfId="0" applyFont="1" applyFill="1" applyBorder="1"/>
    <xf numFmtId="0" fontId="1" fillId="7" borderId="0" xfId="0" applyFont="1" applyFill="1"/>
    <xf numFmtId="0" fontId="1" fillId="7" borderId="11" xfId="0" applyFont="1" applyFill="1" applyBorder="1"/>
    <xf numFmtId="0" fontId="0" fillId="7" borderId="11" xfId="0" applyFill="1" applyBorder="1"/>
    <xf numFmtId="0" fontId="0" fillId="2" borderId="22" xfId="0" applyFill="1" applyBorder="1"/>
    <xf numFmtId="0" fontId="0" fillId="2" borderId="11" xfId="0" applyFill="1" applyBorder="1"/>
    <xf numFmtId="0" fontId="1" fillId="7" borderId="2" xfId="0" applyFont="1" applyFill="1" applyBorder="1"/>
    <xf numFmtId="0" fontId="0" fillId="7" borderId="23" xfId="0" applyFill="1" applyBorder="1"/>
    <xf numFmtId="1" fontId="1" fillId="2" borderId="29" xfId="0" applyNumberFormat="1" applyFont="1" applyFill="1" applyBorder="1"/>
    <xf numFmtId="1" fontId="1" fillId="0" borderId="30" xfId="0" applyNumberFormat="1" applyFont="1" applyBorder="1"/>
    <xf numFmtId="1" fontId="1" fillId="0" borderId="31" xfId="0" applyNumberFormat="1" applyFont="1" applyBorder="1"/>
    <xf numFmtId="0" fontId="0" fillId="0" borderId="3" xfId="0" applyBorder="1"/>
    <xf numFmtId="0" fontId="1" fillId="7" borderId="24" xfId="0" applyFont="1" applyFill="1" applyBorder="1"/>
    <xf numFmtId="2" fontId="0" fillId="0" borderId="0" xfId="0" applyNumberFormat="1"/>
    <xf numFmtId="166" fontId="1" fillId="0" borderId="11" xfId="0" applyNumberFormat="1" applyFont="1" applyBorder="1"/>
    <xf numFmtId="166" fontId="0" fillId="7" borderId="11" xfId="0" applyNumberFormat="1" applyFill="1" applyBorder="1"/>
    <xf numFmtId="166" fontId="0" fillId="0" borderId="26" xfId="0" applyNumberFormat="1" applyBorder="1"/>
    <xf numFmtId="165" fontId="0" fillId="0" borderId="26" xfId="1" applyNumberFormat="1" applyFont="1" applyBorder="1"/>
    <xf numFmtId="0" fontId="0" fillId="0" borderId="0" xfId="0" applyNumberFormat="1"/>
    <xf numFmtId="9" fontId="0" fillId="2" borderId="11" xfId="1" applyFont="1" applyFill="1" applyBorder="1"/>
    <xf numFmtId="9" fontId="0" fillId="0" borderId="1" xfId="1" applyFont="1" applyFill="1" applyBorder="1"/>
    <xf numFmtId="0" fontId="0" fillId="0" borderId="32" xfId="0" applyBorder="1"/>
    <xf numFmtId="9" fontId="0" fillId="0" borderId="0" xfId="1" applyFont="1"/>
    <xf numFmtId="3" fontId="0" fillId="0" borderId="0" xfId="0" applyNumberFormat="1"/>
    <xf numFmtId="9" fontId="0" fillId="0" borderId="0" xfId="1" applyFont="1" applyFill="1" applyBorder="1"/>
    <xf numFmtId="9" fontId="0" fillId="0" borderId="2" xfId="1" applyFont="1" applyFill="1" applyBorder="1"/>
    <xf numFmtId="9" fontId="0" fillId="2" borderId="23" xfId="1" applyFont="1" applyFill="1" applyBorder="1"/>
    <xf numFmtId="9" fontId="0" fillId="3" borderId="11" xfId="1" applyFont="1" applyFill="1" applyBorder="1"/>
    <xf numFmtId="0" fontId="0" fillId="3" borderId="24" xfId="0" applyFill="1" applyBorder="1"/>
    <xf numFmtId="9" fontId="0" fillId="3" borderId="23" xfId="1" applyFont="1" applyFill="1" applyBorder="1"/>
    <xf numFmtId="9" fontId="0" fillId="4" borderId="11" xfId="1" applyFont="1" applyFill="1" applyBorder="1"/>
    <xf numFmtId="9" fontId="0" fillId="4" borderId="23" xfId="1" applyFont="1" applyFill="1" applyBorder="1"/>
    <xf numFmtId="9" fontId="0" fillId="4" borderId="22" xfId="1" applyFont="1" applyFill="1" applyBorder="1"/>
    <xf numFmtId="9" fontId="0" fillId="5" borderId="23" xfId="1" applyFont="1" applyFill="1" applyBorder="1"/>
    <xf numFmtId="9" fontId="1" fillId="6" borderId="23" xfId="1" applyFont="1" applyFill="1" applyBorder="1"/>
    <xf numFmtId="9" fontId="0" fillId="7" borderId="23" xfId="1" applyFont="1" applyFill="1" applyBorder="1"/>
    <xf numFmtId="43" fontId="0" fillId="0" borderId="0" xfId="0" applyNumberFormat="1"/>
    <xf numFmtId="9" fontId="0" fillId="0" borderId="26" xfId="1" applyFont="1" applyBorder="1"/>
    <xf numFmtId="9" fontId="1" fillId="0" borderId="26" xfId="1" applyFont="1" applyBorder="1"/>
    <xf numFmtId="165" fontId="1" fillId="0" borderId="26" xfId="1" applyNumberFormat="1" applyFont="1" applyBorder="1"/>
    <xf numFmtId="0" fontId="0" fillId="0" borderId="0" xfId="0" applyAlignment="1">
      <alignment wrapText="1"/>
    </xf>
    <xf numFmtId="1" fontId="0" fillId="8" borderId="2" xfId="0" applyNumberFormat="1" applyFill="1" applyBorder="1"/>
    <xf numFmtId="0" fontId="0" fillId="8" borderId="2" xfId="0" applyFill="1" applyBorder="1"/>
    <xf numFmtId="0" fontId="0" fillId="8" borderId="0" xfId="0" applyFill="1"/>
    <xf numFmtId="0" fontId="1" fillId="8" borderId="0" xfId="0" applyFont="1" applyFill="1" applyAlignment="1">
      <alignment horizontal="left"/>
    </xf>
    <xf numFmtId="0" fontId="1" fillId="6" borderId="33" xfId="0" applyFont="1" applyFill="1" applyBorder="1"/>
    <xf numFmtId="0" fontId="1" fillId="6" borderId="31" xfId="0" applyFont="1" applyFill="1" applyBorder="1"/>
    <xf numFmtId="1" fontId="0" fillId="0" borderId="0" xfId="1" applyNumberFormat="1" applyFont="1"/>
    <xf numFmtId="165" fontId="4" fillId="0" borderId="0" xfId="1" applyNumberFormat="1" applyFont="1"/>
    <xf numFmtId="10" fontId="1" fillId="0" borderId="26" xfId="1" applyNumberFormat="1" applyFont="1" applyBorder="1"/>
    <xf numFmtId="165" fontId="0" fillId="0" borderId="2" xfId="1" applyNumberFormat="1" applyFont="1" applyBorder="1"/>
    <xf numFmtId="165" fontId="0" fillId="3" borderId="21" xfId="1" applyNumberFormat="1" applyFont="1" applyFill="1" applyBorder="1"/>
    <xf numFmtId="166" fontId="0" fillId="0" borderId="0" xfId="0" applyNumberFormat="1"/>
    <xf numFmtId="9" fontId="0" fillId="0" borderId="3" xfId="1" applyFont="1" applyBorder="1"/>
    <xf numFmtId="2" fontId="1" fillId="0" borderId="11" xfId="0" applyNumberFormat="1" applyFont="1" applyBorder="1"/>
    <xf numFmtId="9" fontId="1" fillId="0" borderId="3" xfId="1" applyFont="1" applyBorder="1"/>
    <xf numFmtId="1" fontId="1" fillId="2" borderId="32" xfId="0" applyNumberFormat="1" applyFont="1" applyFill="1" applyBorder="1"/>
    <xf numFmtId="1" fontId="0" fillId="0" borderId="32" xfId="0" applyNumberFormat="1" applyBorder="1" applyAlignment="1">
      <alignment horizontal="left" indent="1"/>
    </xf>
    <xf numFmtId="1" fontId="0" fillId="0" borderId="32" xfId="0" applyNumberFormat="1" applyBorder="1"/>
    <xf numFmtId="1" fontId="0" fillId="0" borderId="32" xfId="0" applyNumberFormat="1" applyBorder="1" applyAlignment="1">
      <alignment horizontal="left" indent="3"/>
    </xf>
    <xf numFmtId="166" fontId="0" fillId="0" borderId="32" xfId="2" applyNumberFormat="1" applyFont="1" applyBorder="1"/>
    <xf numFmtId="166" fontId="2" fillId="0" borderId="32" xfId="2" applyNumberFormat="1" applyFont="1" applyBorder="1"/>
    <xf numFmtId="1" fontId="0" fillId="2" borderId="32" xfId="0" applyNumberFormat="1" applyFill="1" applyBorder="1"/>
    <xf numFmtId="166" fontId="0" fillId="2" borderId="32" xfId="2" applyNumberFormat="1" applyFont="1" applyFill="1" applyBorder="1"/>
    <xf numFmtId="1" fontId="1" fillId="3" borderId="32" xfId="0" applyNumberFormat="1" applyFont="1" applyFill="1" applyBorder="1"/>
    <xf numFmtId="1" fontId="0" fillId="3" borderId="32" xfId="0" applyNumberFormat="1" applyFill="1" applyBorder="1"/>
    <xf numFmtId="1" fontId="0" fillId="0" borderId="32" xfId="0" applyNumberFormat="1" applyBorder="1" applyAlignment="1">
      <alignment horizontal="left" indent="4"/>
    </xf>
    <xf numFmtId="166" fontId="0" fillId="9" borderId="32" xfId="2" applyNumberFormat="1" applyFont="1" applyFill="1" applyBorder="1"/>
    <xf numFmtId="166" fontId="0" fillId="3" borderId="32" xfId="2" applyNumberFormat="1" applyFont="1" applyFill="1" applyBorder="1"/>
    <xf numFmtId="3" fontId="1" fillId="0" borderId="23" xfId="0" applyNumberFormat="1" applyFont="1" applyBorder="1"/>
    <xf numFmtId="1" fontId="1" fillId="4" borderId="32" xfId="0" applyNumberFormat="1" applyFont="1" applyFill="1" applyBorder="1"/>
    <xf numFmtId="166" fontId="1" fillId="4" borderId="32" xfId="2" applyNumberFormat="1" applyFont="1" applyFill="1" applyBorder="1"/>
    <xf numFmtId="10" fontId="0" fillId="0" borderId="1" xfId="1" applyNumberFormat="1" applyFont="1" applyFill="1" applyBorder="1"/>
    <xf numFmtId="3" fontId="1" fillId="6" borderId="31" xfId="0" applyNumberFormat="1" applyFont="1" applyFill="1" applyBorder="1"/>
    <xf numFmtId="3" fontId="1" fillId="6" borderId="33" xfId="0" applyNumberFormat="1" applyFont="1" applyFill="1" applyBorder="1"/>
    <xf numFmtId="3" fontId="1" fillId="6" borderId="30" xfId="0" applyNumberFormat="1" applyFont="1" applyFill="1" applyBorder="1"/>
    <xf numFmtId="3" fontId="1" fillId="6" borderId="11" xfId="0" applyNumberFormat="1" applyFont="1" applyFill="1" applyBorder="1"/>
    <xf numFmtId="3" fontId="1" fillId="6" borderId="22" xfId="0" applyNumberFormat="1" applyFont="1" applyFill="1" applyBorder="1"/>
    <xf numFmtId="3" fontId="1" fillId="7" borderId="24" xfId="0" applyNumberFormat="1" applyFont="1" applyFill="1" applyBorder="1"/>
    <xf numFmtId="3" fontId="1" fillId="7" borderId="0" xfId="0" applyNumberFormat="1" applyFont="1" applyFill="1" applyBorder="1"/>
    <xf numFmtId="3" fontId="1" fillId="7" borderId="2" xfId="0" applyNumberFormat="1" applyFont="1" applyFill="1" applyBorder="1"/>
    <xf numFmtId="3" fontId="1" fillId="7" borderId="1" xfId="0" applyNumberFormat="1" applyFont="1" applyFill="1" applyBorder="1"/>
    <xf numFmtId="3" fontId="0" fillId="0" borderId="2" xfId="0" applyNumberFormat="1" applyFont="1" applyBorder="1"/>
    <xf numFmtId="3" fontId="3" fillId="0" borderId="0" xfId="2" applyNumberFormat="1" applyFont="1"/>
    <xf numFmtId="3" fontId="3" fillId="0" borderId="1" xfId="2" applyNumberFormat="1" applyFont="1" applyBorder="1"/>
    <xf numFmtId="3" fontId="0" fillId="0" borderId="0" xfId="0" applyNumberFormat="1" applyFont="1" applyBorder="1"/>
    <xf numFmtId="3" fontId="3" fillId="0" borderId="0" xfId="2" applyNumberFormat="1" applyFont="1" applyAlignment="1">
      <alignment horizontal="left" indent="1"/>
    </xf>
    <xf numFmtId="3" fontId="3" fillId="9" borderId="1" xfId="2" applyNumberFormat="1" applyFont="1" applyFill="1" applyBorder="1"/>
    <xf numFmtId="3" fontId="0" fillId="9" borderId="0" xfId="0" applyNumberFormat="1" applyFont="1" applyFill="1"/>
    <xf numFmtId="3" fontId="0" fillId="9" borderId="0" xfId="0" applyNumberFormat="1" applyFont="1" applyFill="1" applyBorder="1"/>
    <xf numFmtId="3" fontId="0" fillId="0" borderId="0" xfId="0" applyNumberFormat="1" applyFont="1"/>
    <xf numFmtId="3" fontId="0" fillId="2" borderId="23" xfId="0" applyNumberFormat="1" applyFont="1" applyFill="1" applyBorder="1"/>
    <xf numFmtId="3" fontId="0" fillId="2" borderId="11" xfId="0" applyNumberFormat="1" applyFont="1" applyFill="1" applyBorder="1"/>
    <xf numFmtId="3" fontId="0" fillId="2" borderId="22" xfId="0" applyNumberFormat="1" applyFont="1" applyFill="1" applyBorder="1"/>
    <xf numFmtId="3" fontId="3" fillId="2" borderId="23" xfId="2" applyNumberFormat="1" applyFont="1" applyFill="1" applyBorder="1"/>
    <xf numFmtId="3" fontId="0" fillId="3" borderId="2" xfId="0" applyNumberFormat="1" applyFont="1" applyFill="1" applyBorder="1"/>
    <xf numFmtId="3" fontId="0" fillId="3" borderId="0" xfId="0" applyNumberFormat="1" applyFont="1" applyFill="1"/>
    <xf numFmtId="3" fontId="0" fillId="3" borderId="0" xfId="0" applyNumberFormat="1" applyFont="1" applyFill="1" applyBorder="1"/>
    <xf numFmtId="3" fontId="0" fillId="3" borderId="1" xfId="0" applyNumberFormat="1" applyFont="1" applyFill="1" applyBorder="1"/>
    <xf numFmtId="3" fontId="3" fillId="0" borderId="2" xfId="2" applyNumberFormat="1" applyFont="1" applyBorder="1"/>
    <xf numFmtId="3" fontId="3" fillId="0" borderId="0" xfId="2" applyNumberFormat="1" applyFont="1" applyBorder="1"/>
    <xf numFmtId="3" fontId="0" fillId="3" borderId="23" xfId="0" applyNumberFormat="1" applyFont="1" applyFill="1" applyBorder="1"/>
    <xf numFmtId="3" fontId="0" fillId="3" borderId="11" xfId="0" applyNumberFormat="1" applyFont="1" applyFill="1" applyBorder="1"/>
    <xf numFmtId="3" fontId="0" fillId="3" borderId="22" xfId="0" applyNumberFormat="1" applyFont="1" applyFill="1" applyBorder="1"/>
    <xf numFmtId="3" fontId="0" fillId="4" borderId="2" xfId="0" applyNumberFormat="1" applyFont="1" applyFill="1" applyBorder="1"/>
    <xf numFmtId="3" fontId="0" fillId="4" borderId="0" xfId="0" applyNumberFormat="1" applyFont="1" applyFill="1"/>
    <xf numFmtId="3" fontId="0" fillId="4" borderId="1" xfId="0" applyNumberFormat="1" applyFont="1" applyFill="1" applyBorder="1"/>
    <xf numFmtId="3" fontId="0" fillId="9" borderId="1" xfId="0" applyNumberFormat="1" applyFont="1" applyFill="1" applyBorder="1"/>
    <xf numFmtId="3" fontId="0" fillId="9" borderId="2" xfId="0" applyNumberFormat="1" applyFont="1" applyFill="1" applyBorder="1"/>
    <xf numFmtId="3" fontId="0" fillId="0" borderId="2" xfId="0" applyNumberFormat="1" applyFont="1" applyFill="1" applyBorder="1"/>
    <xf numFmtId="3" fontId="0" fillId="4" borderId="23" xfId="0" applyNumberFormat="1" applyFont="1" applyFill="1" applyBorder="1"/>
    <xf numFmtId="3" fontId="0" fillId="4" borderId="11" xfId="0" applyNumberFormat="1" applyFont="1" applyFill="1" applyBorder="1"/>
    <xf numFmtId="3" fontId="0" fillId="4" borderId="22" xfId="0" applyNumberFormat="1" applyFont="1" applyFill="1" applyBorder="1"/>
    <xf numFmtId="3" fontId="0" fillId="5" borderId="2" xfId="0" applyNumberFormat="1" applyFont="1" applyFill="1" applyBorder="1"/>
    <xf numFmtId="3" fontId="0" fillId="5" borderId="0" xfId="0" applyNumberFormat="1" applyFont="1" applyFill="1"/>
    <xf numFmtId="3" fontId="0" fillId="5" borderId="1" xfId="0" applyNumberFormat="1" applyFont="1" applyFill="1" applyBorder="1"/>
    <xf numFmtId="3" fontId="0" fillId="5" borderId="24" xfId="0" applyNumberFormat="1" applyFont="1" applyFill="1" applyBorder="1"/>
    <xf numFmtId="3" fontId="0" fillId="0" borderId="1" xfId="0" applyNumberFormat="1" applyFont="1" applyBorder="1"/>
    <xf numFmtId="3" fontId="3" fillId="0" borderId="0" xfId="2" applyNumberFormat="1" applyFont="1" applyAlignment="1">
      <alignment horizontal="right"/>
    </xf>
    <xf numFmtId="3" fontId="0" fillId="0" borderId="0" xfId="0" applyNumberFormat="1" applyFont="1" applyAlignment="1">
      <alignment horizontal="right"/>
    </xf>
    <xf numFmtId="3" fontId="3" fillId="5" borderId="23" xfId="2" applyNumberFormat="1" applyFont="1" applyFill="1" applyBorder="1"/>
    <xf numFmtId="3" fontId="0" fillId="5" borderId="11" xfId="0" applyNumberFormat="1" applyFont="1" applyFill="1" applyBorder="1"/>
    <xf numFmtId="3" fontId="3" fillId="5" borderId="11" xfId="2" applyNumberFormat="1" applyFont="1" applyFill="1" applyBorder="1"/>
    <xf numFmtId="3" fontId="0" fillId="5" borderId="22" xfId="0" applyNumberFormat="1" applyFont="1" applyFill="1" applyBorder="1"/>
    <xf numFmtId="3" fontId="0" fillId="8" borderId="2" xfId="0" applyNumberFormat="1" applyFont="1" applyFill="1" applyBorder="1"/>
    <xf numFmtId="3" fontId="0" fillId="8" borderId="0" xfId="0" applyNumberFormat="1" applyFont="1" applyFill="1"/>
    <xf numFmtId="3" fontId="0" fillId="6" borderId="23" xfId="0" applyNumberFormat="1" applyFont="1" applyFill="1" applyBorder="1"/>
    <xf numFmtId="3" fontId="3" fillId="6" borderId="23" xfId="2" applyNumberFormat="1" applyFont="1" applyFill="1" applyBorder="1"/>
    <xf numFmtId="3" fontId="0" fillId="7" borderId="23" xfId="0" applyNumberFormat="1" applyFont="1" applyFill="1" applyBorder="1"/>
    <xf numFmtId="3" fontId="0" fillId="7" borderId="11" xfId="0" applyNumberFormat="1" applyFont="1" applyFill="1" applyBorder="1"/>
    <xf numFmtId="3" fontId="0" fillId="7" borderId="22" xfId="0" applyNumberFormat="1" applyFont="1" applyFill="1" applyBorder="1"/>
    <xf numFmtId="43" fontId="0" fillId="8" borderId="1" xfId="2" applyNumberFormat="1" applyFont="1" applyFill="1" applyBorder="1"/>
    <xf numFmtId="168" fontId="0" fillId="8" borderId="1" xfId="0" applyNumberFormat="1" applyFont="1" applyFill="1" applyBorder="1"/>
    <xf numFmtId="168" fontId="3" fillId="8" borderId="1" xfId="2" applyNumberFormat="1" applyFont="1" applyFill="1" applyBorder="1"/>
    <xf numFmtId="168" fontId="0" fillId="8" borderId="0" xfId="0" applyNumberFormat="1" applyFont="1" applyFill="1"/>
    <xf numFmtId="9" fontId="0" fillId="0" borderId="0" xfId="1" applyFont="1"/>
    <xf numFmtId="167" fontId="0" fillId="0" borderId="2" xfId="2" applyNumberFormat="1" applyFont="1" applyBorder="1"/>
    <xf numFmtId="167" fontId="0" fillId="0" borderId="0" xfId="2" applyNumberFormat="1" applyFont="1"/>
    <xf numFmtId="167" fontId="1" fillId="0" borderId="0" xfId="2" applyNumberFormat="1" applyFont="1" applyBorder="1"/>
    <xf numFmtId="167" fontId="1" fillId="0" borderId="3" xfId="2" applyNumberFormat="1" applyFont="1" applyBorder="1"/>
    <xf numFmtId="167" fontId="3" fillId="0" borderId="0" xfId="2" applyNumberFormat="1" applyFont="1" applyBorder="1"/>
    <xf numFmtId="167" fontId="3" fillId="0" borderId="0" xfId="2" applyNumberFormat="1" applyFont="1" applyFill="1" applyBorder="1"/>
    <xf numFmtId="3" fontId="1" fillId="6" borderId="23" xfId="2" applyNumberFormat="1" applyFont="1" applyFill="1" applyBorder="1"/>
    <xf numFmtId="3" fontId="0" fillId="0" borderId="11" xfId="0" applyNumberFormat="1" applyBorder="1"/>
    <xf numFmtId="0" fontId="0" fillId="0" borderId="0" xfId="0" applyAlignment="1">
      <alignment vertical="center"/>
    </xf>
    <xf numFmtId="1" fontId="0" fillId="0" borderId="0" xfId="0" applyNumberFormat="1" applyAlignment="1">
      <alignment vertical="center"/>
    </xf>
    <xf numFmtId="1" fontId="0" fillId="0" borderId="0" xfId="0" applyNumberFormat="1" applyBorder="1" applyAlignment="1">
      <alignment horizontal="left" vertical="center"/>
    </xf>
    <xf numFmtId="1" fontId="0" fillId="0" borderId="2" xfId="0" applyNumberFormat="1" applyBorder="1" applyAlignment="1">
      <alignment vertical="center"/>
    </xf>
    <xf numFmtId="0" fontId="0" fillId="0" borderId="2" xfId="0" applyBorder="1" applyAlignment="1">
      <alignment vertical="center"/>
    </xf>
    <xf numFmtId="1" fontId="0" fillId="0" borderId="0" xfId="0" applyNumberFormat="1" applyFill="1" applyBorder="1" applyAlignment="1">
      <alignment horizontal="left" vertical="center"/>
    </xf>
    <xf numFmtId="1" fontId="0" fillId="0" borderId="2" xfId="0" applyNumberFormat="1" applyFill="1" applyBorder="1" applyAlignment="1">
      <alignment vertical="center"/>
    </xf>
    <xf numFmtId="1" fontId="0" fillId="0" borderId="0" xfId="0" applyNumberFormat="1" applyAlignment="1">
      <alignment horizontal="left" vertical="center"/>
    </xf>
    <xf numFmtId="0" fontId="0" fillId="0" borderId="2" xfId="0" applyFill="1" applyBorder="1" applyAlignment="1">
      <alignment vertical="center"/>
    </xf>
    <xf numFmtId="0" fontId="0" fillId="0" borderId="0" xfId="0" applyFill="1" applyAlignment="1">
      <alignment vertical="center"/>
    </xf>
    <xf numFmtId="0" fontId="0" fillId="0" borderId="0" xfId="0" applyAlignment="1">
      <alignment horizontal="left" vertical="center"/>
    </xf>
    <xf numFmtId="164" fontId="0" fillId="0" borderId="0" xfId="0" applyNumberFormat="1" applyAlignment="1">
      <alignment vertical="center"/>
    </xf>
    <xf numFmtId="0" fontId="0" fillId="43" borderId="0" xfId="0" applyFill="1" applyAlignment="1">
      <alignment vertical="center"/>
    </xf>
    <xf numFmtId="1" fontId="13" fillId="0" borderId="36" xfId="10" applyNumberFormat="1"/>
    <xf numFmtId="0" fontId="13" fillId="0" borderId="36" xfId="10"/>
    <xf numFmtId="167" fontId="1" fillId="0" borderId="25" xfId="2" applyNumberFormat="1" applyFont="1" applyBorder="1"/>
    <xf numFmtId="167" fontId="0" fillId="0" borderId="32" xfId="2" applyNumberFormat="1" applyFont="1" applyBorder="1"/>
    <xf numFmtId="0" fontId="0" fillId="0" borderId="32" xfId="0" applyBorder="1" applyAlignment="1">
      <alignment horizontal="left" vertical="center"/>
    </xf>
    <xf numFmtId="0" fontId="0" fillId="0" borderId="32" xfId="0" applyBorder="1" applyAlignment="1">
      <alignment vertical="center"/>
    </xf>
    <xf numFmtId="0" fontId="13" fillId="0" borderId="36" xfId="10" applyAlignment="1">
      <alignment wrapText="1"/>
    </xf>
    <xf numFmtId="0" fontId="0" fillId="0" borderId="32" xfId="0" applyBorder="1" applyAlignment="1">
      <alignment wrapText="1"/>
    </xf>
    <xf numFmtId="0" fontId="0" fillId="0" borderId="34" xfId="0" applyBorder="1" applyAlignment="1">
      <alignment wrapText="1"/>
    </xf>
    <xf numFmtId="0" fontId="0" fillId="0" borderId="47" xfId="0" applyBorder="1" applyAlignment="1">
      <alignment wrapText="1"/>
    </xf>
    <xf numFmtId="0" fontId="0" fillId="0" borderId="35" xfId="0" applyBorder="1" applyAlignment="1">
      <alignment horizontal="left" wrapText="1"/>
    </xf>
    <xf numFmtId="167" fontId="3" fillId="0" borderId="32" xfId="2" applyNumberFormat="1" applyFont="1" applyFill="1" applyBorder="1" applyAlignment="1">
      <alignment horizontal="left" wrapText="1"/>
    </xf>
    <xf numFmtId="0" fontId="0" fillId="0" borderId="34" xfId="0" applyBorder="1" applyAlignment="1">
      <alignment vertical="center"/>
    </xf>
    <xf numFmtId="167" fontId="0" fillId="0" borderId="32" xfId="2" applyNumberFormat="1" applyFont="1" applyFill="1" applyBorder="1" applyAlignment="1">
      <alignment horizontal="left" wrapText="1"/>
    </xf>
    <xf numFmtId="1" fontId="0" fillId="0" borderId="0" xfId="0" applyNumberFormat="1" applyFont="1" applyFill="1" applyBorder="1" applyAlignment="1">
      <alignment vertical="center"/>
    </xf>
    <xf numFmtId="167" fontId="3" fillId="0" borderId="32" xfId="2" applyNumberFormat="1" applyFont="1" applyFill="1" applyBorder="1"/>
    <xf numFmtId="167" fontId="1" fillId="0" borderId="20" xfId="2" applyNumberFormat="1" applyFont="1" applyBorder="1"/>
    <xf numFmtId="0" fontId="1" fillId="0" borderId="0" xfId="0" applyFont="1" applyAlignment="1">
      <alignment vertical="center"/>
    </xf>
    <xf numFmtId="0" fontId="0" fillId="0" borderId="0" xfId="0" applyAlignment="1">
      <alignment vertical="center"/>
    </xf>
    <xf numFmtId="167" fontId="1" fillId="0" borderId="0" xfId="2" applyNumberFormat="1" applyFont="1" applyFill="1"/>
    <xf numFmtId="1" fontId="3" fillId="0" borderId="0" xfId="2" applyNumberFormat="1" applyFont="1"/>
    <xf numFmtId="167" fontId="3" fillId="0" borderId="0" xfId="2" applyNumberFormat="1" applyFont="1" applyFill="1"/>
    <xf numFmtId="167" fontId="3" fillId="0" borderId="0" xfId="2" applyNumberFormat="1" applyFont="1"/>
    <xf numFmtId="167" fontId="3" fillId="0" borderId="3" xfId="2" applyNumberFormat="1" applyFont="1" applyBorder="1"/>
    <xf numFmtId="167" fontId="3" fillId="10" borderId="0" xfId="2" applyNumberFormat="1" applyFont="1" applyFill="1"/>
    <xf numFmtId="0" fontId="3" fillId="0" borderId="0" xfId="0" applyFont="1" applyAlignment="1">
      <alignment vertical="center"/>
    </xf>
    <xf numFmtId="43" fontId="3" fillId="0" borderId="0" xfId="2" applyFont="1"/>
    <xf numFmtId="43" fontId="3" fillId="0" borderId="0" xfId="2" applyFont="1" applyFill="1"/>
    <xf numFmtId="167" fontId="3" fillId="9" borderId="0" xfId="2" applyNumberFormat="1" applyFont="1" applyFill="1"/>
    <xf numFmtId="0" fontId="1" fillId="43" borderId="0" xfId="0" applyFont="1" applyFill="1" applyBorder="1" applyAlignment="1">
      <alignment vertical="center"/>
    </xf>
    <xf numFmtId="0" fontId="1" fillId="0" borderId="0" xfId="0" applyFont="1" applyBorder="1" applyAlignment="1">
      <alignment vertical="center"/>
    </xf>
    <xf numFmtId="0" fontId="0" fillId="0" borderId="0" xfId="0" applyFont="1" applyFill="1" applyBorder="1" applyAlignment="1">
      <alignment vertical="center"/>
    </xf>
    <xf numFmtId="0" fontId="3" fillId="0" borderId="0" xfId="0" applyFont="1" applyFill="1" applyAlignment="1">
      <alignment vertical="center"/>
    </xf>
    <xf numFmtId="1" fontId="1" fillId="0" borderId="12" xfId="0" applyNumberFormat="1" applyFont="1" applyBorder="1" applyAlignment="1">
      <alignment vertical="center"/>
    </xf>
    <xf numFmtId="164" fontId="1" fillId="48" borderId="50" xfId="0" applyNumberFormat="1" applyFont="1" applyFill="1" applyBorder="1" applyAlignment="1">
      <alignment vertical="center"/>
    </xf>
    <xf numFmtId="1" fontId="53" fillId="0" borderId="13" xfId="0" applyNumberFormat="1" applyFont="1" applyBorder="1" applyAlignment="1">
      <alignment vertical="center"/>
    </xf>
    <xf numFmtId="164" fontId="1" fillId="0" borderId="14" xfId="0" applyNumberFormat="1" applyFont="1" applyBorder="1" applyAlignment="1">
      <alignment vertical="center"/>
    </xf>
    <xf numFmtId="166" fontId="0" fillId="0" borderId="50" xfId="2" applyNumberFormat="1" applyFont="1" applyFill="1" applyBorder="1" applyAlignment="1">
      <alignment vertical="center"/>
    </xf>
    <xf numFmtId="49" fontId="0" fillId="45" borderId="32" xfId="2" applyNumberFormat="1" applyFont="1" applyFill="1" applyBorder="1" applyAlignment="1">
      <alignment horizontal="left" vertical="center" wrapText="1"/>
    </xf>
    <xf numFmtId="1" fontId="1" fillId="7" borderId="54" xfId="0" applyNumberFormat="1" applyFont="1" applyFill="1" applyBorder="1" applyAlignment="1">
      <alignment vertical="center"/>
    </xf>
    <xf numFmtId="166" fontId="1" fillId="49" borderId="28" xfId="2" applyNumberFormat="1" applyFont="1" applyFill="1" applyBorder="1" applyAlignment="1">
      <alignment vertical="center"/>
    </xf>
    <xf numFmtId="1" fontId="53" fillId="0" borderId="4" xfId="0" applyNumberFormat="1" applyFont="1" applyBorder="1" applyAlignment="1">
      <alignment vertical="center"/>
    </xf>
    <xf numFmtId="166" fontId="1" fillId="47" borderId="28" xfId="2" applyNumberFormat="1" applyFont="1" applyFill="1" applyBorder="1" applyAlignment="1">
      <alignment vertical="center"/>
    </xf>
    <xf numFmtId="166" fontId="3" fillId="0" borderId="48" xfId="2" applyNumberFormat="1" applyFont="1" applyFill="1" applyBorder="1" applyAlignment="1">
      <alignment vertical="center"/>
    </xf>
    <xf numFmtId="1" fontId="1" fillId="0" borderId="13" xfId="0" applyNumberFormat="1" applyFont="1" applyBorder="1" applyAlignment="1">
      <alignment vertical="center"/>
    </xf>
    <xf numFmtId="0" fontId="1" fillId="0" borderId="1" xfId="0" applyFont="1" applyFill="1" applyBorder="1" applyAlignment="1">
      <alignment vertical="center"/>
    </xf>
    <xf numFmtId="1" fontId="53" fillId="0" borderId="12" xfId="0" applyNumberFormat="1" applyFont="1" applyBorder="1" applyAlignment="1">
      <alignment vertical="center"/>
    </xf>
    <xf numFmtId="0" fontId="1" fillId="0" borderId="0" xfId="0" applyFont="1" applyFill="1" applyBorder="1" applyAlignment="1">
      <alignment vertical="center"/>
    </xf>
    <xf numFmtId="166" fontId="1" fillId="46" borderId="50" xfId="2" applyNumberFormat="1" applyFont="1" applyFill="1" applyBorder="1" applyAlignment="1">
      <alignment vertical="center"/>
    </xf>
    <xf numFmtId="0" fontId="1" fillId="0" borderId="2" xfId="0" applyFont="1" applyFill="1" applyBorder="1" applyAlignment="1">
      <alignment vertical="center"/>
    </xf>
    <xf numFmtId="167" fontId="1" fillId="45" borderId="32" xfId="2" applyNumberFormat="1" applyFont="1" applyFill="1" applyBorder="1"/>
    <xf numFmtId="0" fontId="53" fillId="0" borderId="0" xfId="0" applyFont="1" applyAlignment="1">
      <alignment vertical="center"/>
    </xf>
    <xf numFmtId="1" fontId="53" fillId="0" borderId="56" xfId="0" applyNumberFormat="1" applyFont="1" applyBorder="1" applyAlignment="1">
      <alignment vertical="center"/>
    </xf>
    <xf numFmtId="3" fontId="0" fillId="0" borderId="2" xfId="0" applyNumberFormat="1" applyFont="1" applyFill="1" applyBorder="1" applyAlignment="1">
      <alignment vertical="center"/>
    </xf>
    <xf numFmtId="164" fontId="53" fillId="0" borderId="14" xfId="0" applyNumberFormat="1" applyFont="1" applyBorder="1" applyAlignment="1">
      <alignment vertical="center"/>
    </xf>
    <xf numFmtId="166" fontId="1" fillId="7" borderId="28" xfId="2" applyNumberFormat="1" applyFont="1" applyFill="1" applyBorder="1" applyAlignment="1">
      <alignment vertical="center"/>
    </xf>
    <xf numFmtId="1" fontId="53" fillId="0" borderId="14" xfId="0" applyNumberFormat="1" applyFont="1" applyBorder="1" applyAlignment="1">
      <alignment vertical="center"/>
    </xf>
    <xf numFmtId="167" fontId="0" fillId="0" borderId="25" xfId="2" applyNumberFormat="1" applyFont="1" applyBorder="1" applyAlignment="1">
      <alignment horizontal="left" indent="2"/>
    </xf>
    <xf numFmtId="167" fontId="53" fillId="0" borderId="53" xfId="2" applyNumberFormat="1" applyFont="1" applyBorder="1"/>
    <xf numFmtId="166" fontId="1" fillId="48" borderId="28" xfId="2" applyNumberFormat="1" applyFont="1" applyFill="1" applyBorder="1" applyAlignment="1">
      <alignment vertical="center"/>
    </xf>
    <xf numFmtId="164" fontId="0" fillId="49" borderId="50" xfId="0" applyNumberFormat="1" applyFill="1" applyBorder="1" applyAlignment="1">
      <alignment vertical="center"/>
    </xf>
    <xf numFmtId="166" fontId="1" fillId="7" borderId="52" xfId="2" applyNumberFormat="1" applyFont="1" applyFill="1" applyBorder="1" applyAlignment="1">
      <alignment vertical="center"/>
    </xf>
    <xf numFmtId="1" fontId="1" fillId="0" borderId="14" xfId="0" applyNumberFormat="1" applyFont="1" applyBorder="1" applyAlignment="1">
      <alignment vertical="center"/>
    </xf>
    <xf numFmtId="167" fontId="1" fillId="7" borderId="32" xfId="2" applyNumberFormat="1" applyFont="1" applyFill="1" applyBorder="1"/>
    <xf numFmtId="166" fontId="0" fillId="0" borderId="48" xfId="2" applyNumberFormat="1" applyFont="1" applyBorder="1" applyAlignment="1">
      <alignment horizontal="right" vertical="center"/>
    </xf>
    <xf numFmtId="166" fontId="1" fillId="0" borderId="0" xfId="0" applyNumberFormat="1" applyFont="1" applyFill="1" applyBorder="1" applyAlignment="1">
      <alignment vertical="center"/>
    </xf>
    <xf numFmtId="166" fontId="1" fillId="0" borderId="0" xfId="2" applyNumberFormat="1" applyFont="1" applyFill="1" applyBorder="1" applyAlignment="1">
      <alignment vertical="center"/>
    </xf>
    <xf numFmtId="164" fontId="0" fillId="0" borderId="50" xfId="0" applyNumberFormat="1" applyFill="1" applyBorder="1" applyAlignment="1">
      <alignment vertical="center"/>
    </xf>
    <xf numFmtId="1" fontId="53" fillId="0" borderId="24" xfId="0" applyNumberFormat="1" applyFont="1" applyBorder="1" applyAlignment="1">
      <alignment vertical="center"/>
    </xf>
    <xf numFmtId="164" fontId="0" fillId="44" borderId="50" xfId="0" applyNumberFormat="1" applyFill="1" applyBorder="1" applyAlignment="1">
      <alignment vertical="center"/>
    </xf>
    <xf numFmtId="166" fontId="1" fillId="46" borderId="28" xfId="2" applyNumberFormat="1" applyFont="1" applyFill="1" applyBorder="1"/>
    <xf numFmtId="167" fontId="3" fillId="0" borderId="0" xfId="2" applyNumberFormat="1" applyFont="1" applyFill="1"/>
    <xf numFmtId="166" fontId="1" fillId="45" borderId="28" xfId="2" applyNumberFormat="1" applyFont="1" applyFill="1" applyBorder="1" applyAlignment="1">
      <alignment vertical="center"/>
    </xf>
    <xf numFmtId="166" fontId="0" fillId="0" borderId="50" xfId="2" applyNumberFormat="1" applyFont="1" applyBorder="1" applyAlignment="1">
      <alignment vertical="center"/>
    </xf>
    <xf numFmtId="166" fontId="1" fillId="44" borderId="28" xfId="2" applyNumberFormat="1" applyFont="1" applyFill="1" applyBorder="1" applyAlignment="1">
      <alignment vertical="center"/>
    </xf>
    <xf numFmtId="167" fontId="1" fillId="7" borderId="32" xfId="2" applyNumberFormat="1" applyFont="1" applyFill="1" applyBorder="1" applyAlignment="1">
      <alignment wrapText="1"/>
    </xf>
    <xf numFmtId="0" fontId="0" fillId="0" borderId="50" xfId="0" applyFill="1" applyBorder="1" applyAlignment="1">
      <alignment vertical="center"/>
    </xf>
    <xf numFmtId="166" fontId="0" fillId="0" borderId="50" xfId="2" applyNumberFormat="1" applyFont="1" applyFill="1" applyBorder="1" applyAlignment="1">
      <alignment horizontal="center" vertical="center"/>
    </xf>
    <xf numFmtId="167" fontId="0" fillId="45" borderId="32" xfId="2" applyNumberFormat="1" applyFont="1" applyFill="1" applyBorder="1"/>
    <xf numFmtId="164" fontId="1" fillId="47" borderId="52" xfId="0" applyNumberFormat="1" applyFont="1" applyFill="1" applyBorder="1" applyAlignment="1">
      <alignment vertical="center"/>
    </xf>
    <xf numFmtId="0" fontId="1" fillId="7" borderId="50" xfId="0" applyFont="1" applyFill="1" applyBorder="1" applyAlignment="1">
      <alignment vertical="center"/>
    </xf>
    <xf numFmtId="2" fontId="3" fillId="47" borderId="3" xfId="0" applyNumberFormat="1" applyFont="1" applyFill="1" applyBorder="1" applyAlignment="1">
      <alignment vertical="center"/>
    </xf>
    <xf numFmtId="0" fontId="3" fillId="47" borderId="3" xfId="0" applyFont="1" applyFill="1" applyBorder="1" applyAlignment="1">
      <alignment vertical="center"/>
    </xf>
    <xf numFmtId="166" fontId="3" fillId="47" borderId="3" xfId="2" applyNumberFormat="1" applyFont="1" applyFill="1" applyBorder="1" applyAlignment="1">
      <alignment vertical="center"/>
    </xf>
    <xf numFmtId="0" fontId="0" fillId="0" borderId="32" xfId="0" applyBorder="1"/>
    <xf numFmtId="166" fontId="10" fillId="0" borderId="1" xfId="2" applyNumberFormat="1" applyFont="1" applyBorder="1"/>
    <xf numFmtId="166" fontId="46" fillId="0" borderId="0" xfId="2" applyNumberFormat="1" applyFont="1" applyBorder="1"/>
    <xf numFmtId="166" fontId="10" fillId="0" borderId="0" xfId="2" applyNumberFormat="1" applyFont="1" applyFill="1" applyBorder="1"/>
    <xf numFmtId="167" fontId="3" fillId="0" borderId="0" xfId="2" applyNumberFormat="1" applyFont="1" applyBorder="1"/>
    <xf numFmtId="166" fontId="46" fillId="0" borderId="0" xfId="2" applyNumberFormat="1" applyFont="1" applyFill="1" applyBorder="1"/>
    <xf numFmtId="166" fontId="10" fillId="0" borderId="1" xfId="2" applyNumberFormat="1" applyFont="1" applyFill="1" applyBorder="1"/>
    <xf numFmtId="166" fontId="3" fillId="0" borderId="0" xfId="2" applyNumberFormat="1" applyFont="1" applyFill="1" applyBorder="1"/>
    <xf numFmtId="1" fontId="0" fillId="0" borderId="2" xfId="0" applyNumberFormat="1" applyFill="1" applyBorder="1" applyAlignment="1">
      <alignment vertical="center"/>
    </xf>
    <xf numFmtId="0" fontId="0" fillId="0" borderId="0" xfId="0" applyFill="1" applyAlignment="1">
      <alignment vertical="center"/>
    </xf>
    <xf numFmtId="167" fontId="0" fillId="0" borderId="32" xfId="2" applyNumberFormat="1" applyFont="1" applyBorder="1" applyAlignment="1">
      <alignment horizontal="left" indent="1"/>
    </xf>
    <xf numFmtId="167" fontId="0" fillId="0" borderId="32" xfId="2" applyNumberFormat="1" applyFont="1" applyBorder="1"/>
    <xf numFmtId="167" fontId="0" fillId="0" borderId="32" xfId="2" applyNumberFormat="1" applyFont="1" applyBorder="1" applyAlignment="1">
      <alignment horizontal="left" indent="3"/>
    </xf>
    <xf numFmtId="167" fontId="0" fillId="0" borderId="32" xfId="2" applyNumberFormat="1" applyFont="1" applyFill="1" applyBorder="1" applyAlignment="1">
      <alignment horizontal="left" indent="3"/>
    </xf>
    <xf numFmtId="167" fontId="0" fillId="0" borderId="32" xfId="2" applyNumberFormat="1" applyFont="1" applyFill="1" applyBorder="1"/>
    <xf numFmtId="167" fontId="0" fillId="0" borderId="32" xfId="2" applyNumberFormat="1" applyFont="1" applyBorder="1" applyAlignment="1">
      <alignment horizontal="left" indent="4"/>
    </xf>
    <xf numFmtId="0" fontId="0" fillId="0" borderId="32" xfId="0" applyBorder="1" applyAlignment="1">
      <alignment horizontal="left" vertical="center"/>
    </xf>
    <xf numFmtId="0" fontId="0" fillId="0" borderId="32" xfId="0" applyBorder="1" applyAlignment="1">
      <alignment vertical="center"/>
    </xf>
    <xf numFmtId="0" fontId="0" fillId="0" borderId="32" xfId="0" applyBorder="1" applyAlignment="1">
      <alignment wrapText="1"/>
    </xf>
    <xf numFmtId="0" fontId="1" fillId="0" borderId="0" xfId="0" applyFont="1" applyAlignment="1">
      <alignment vertical="center"/>
    </xf>
    <xf numFmtId="166" fontId="10" fillId="0" borderId="1" xfId="2" applyNumberFormat="1" applyFont="1" applyBorder="1" applyAlignment="1">
      <alignment horizontal="center"/>
    </xf>
    <xf numFmtId="166" fontId="10" fillId="0" borderId="1" xfId="2" applyNumberFormat="1" applyFont="1" applyFill="1" applyBorder="1" applyAlignment="1">
      <alignment horizontal="center"/>
    </xf>
    <xf numFmtId="166" fontId="10" fillId="0" borderId="0" xfId="2" applyNumberFormat="1" applyFont="1" applyBorder="1" applyAlignment="1">
      <alignment horizontal="center"/>
    </xf>
    <xf numFmtId="166" fontId="46" fillId="0" borderId="2" xfId="2" applyNumberFormat="1" applyFont="1" applyBorder="1"/>
    <xf numFmtId="166" fontId="10" fillId="0" borderId="2" xfId="2" applyNumberFormat="1" applyFont="1" applyBorder="1"/>
    <xf numFmtId="167" fontId="3" fillId="0" borderId="2" xfId="2" applyNumberFormat="1" applyFont="1" applyBorder="1"/>
    <xf numFmtId="166" fontId="3" fillId="0" borderId="1" xfId="2" applyNumberFormat="1" applyFont="1" applyBorder="1"/>
    <xf numFmtId="167" fontId="3" fillId="0" borderId="1" xfId="2" applyNumberFormat="1" applyFont="1" applyBorder="1"/>
    <xf numFmtId="166" fontId="3" fillId="0" borderId="0" xfId="2" applyNumberFormat="1" applyFont="1" applyBorder="1"/>
    <xf numFmtId="166" fontId="3" fillId="0" borderId="1" xfId="2" applyNumberFormat="1" applyFont="1" applyFill="1" applyBorder="1"/>
    <xf numFmtId="166" fontId="3" fillId="0" borderId="2" xfId="2" applyNumberFormat="1" applyFont="1" applyFill="1" applyBorder="1"/>
    <xf numFmtId="166" fontId="3" fillId="0" borderId="2" xfId="2" applyNumberFormat="1" applyFont="1" applyBorder="1"/>
    <xf numFmtId="0" fontId="3" fillId="0" borderId="0" xfId="2" applyNumberFormat="1" applyFont="1" applyBorder="1" applyAlignment="1">
      <alignment horizontal="center"/>
    </xf>
    <xf numFmtId="167" fontId="3" fillId="0" borderId="1" xfId="2" applyNumberFormat="1" applyFont="1" applyFill="1" applyBorder="1" applyAlignment="1">
      <alignment horizontal="center"/>
    </xf>
    <xf numFmtId="167" fontId="3" fillId="0" borderId="2" xfId="2" applyNumberFormat="1" applyFont="1" applyFill="1" applyBorder="1" applyAlignment="1">
      <alignment horizontal="center"/>
    </xf>
    <xf numFmtId="166" fontId="3" fillId="0" borderId="1" xfId="2" applyNumberFormat="1" applyFont="1" applyBorder="1" applyAlignment="1">
      <alignment horizontal="center"/>
    </xf>
    <xf numFmtId="167" fontId="3" fillId="0" borderId="1" xfId="2" applyNumberFormat="1" applyFont="1" applyBorder="1" applyAlignment="1">
      <alignment horizontal="center"/>
    </xf>
    <xf numFmtId="166" fontId="3" fillId="0" borderId="0" xfId="2" applyNumberFormat="1" applyFont="1" applyBorder="1" applyAlignment="1">
      <alignment horizontal="center"/>
    </xf>
    <xf numFmtId="166" fontId="3" fillId="0" borderId="2" xfId="2" applyNumberFormat="1" applyFont="1" applyFill="1" applyBorder="1" applyAlignment="1">
      <alignment horizontal="center"/>
    </xf>
    <xf numFmtId="166" fontId="3" fillId="0" borderId="23" xfId="2" applyNumberFormat="1" applyFont="1" applyBorder="1" applyAlignment="1">
      <alignment horizontal="center"/>
    </xf>
    <xf numFmtId="166" fontId="3" fillId="0" borderId="2" xfId="2" applyNumberFormat="1" applyFont="1" applyBorder="1" applyAlignment="1">
      <alignment horizontal="center"/>
    </xf>
    <xf numFmtId="166" fontId="10" fillId="0" borderId="0" xfId="2" applyNumberFormat="1" applyFont="1" applyBorder="1"/>
    <xf numFmtId="166" fontId="46" fillId="0" borderId="2" xfId="2" applyNumberFormat="1" applyFont="1" applyFill="1" applyBorder="1"/>
    <xf numFmtId="166" fontId="46" fillId="0" borderId="1" xfId="2" applyNumberFormat="1" applyFont="1" applyBorder="1"/>
    <xf numFmtId="166" fontId="3" fillId="0" borderId="22" xfId="2" applyNumberFormat="1" applyFont="1" applyFill="1" applyBorder="1"/>
    <xf numFmtId="166" fontId="3" fillId="0" borderId="0" xfId="2" applyNumberFormat="1" applyFont="1" applyFill="1" applyBorder="1" applyAlignment="1">
      <alignment horizontal="center"/>
    </xf>
    <xf numFmtId="1" fontId="3" fillId="0" borderId="8" xfId="2" applyNumberFormat="1" applyFont="1" applyBorder="1"/>
    <xf numFmtId="167" fontId="3" fillId="0" borderId="0" xfId="2" applyNumberFormat="1" applyFont="1" applyBorder="1" applyAlignment="1">
      <alignment horizontal="center"/>
    </xf>
    <xf numFmtId="167" fontId="3" fillId="0" borderId="2" xfId="2" applyNumberFormat="1" applyFont="1" applyFill="1" applyBorder="1"/>
    <xf numFmtId="166" fontId="3" fillId="0" borderId="18" xfId="2" applyNumberFormat="1" applyFont="1" applyBorder="1"/>
    <xf numFmtId="167" fontId="1" fillId="0" borderId="25" xfId="2" applyNumberFormat="1" applyFont="1" applyBorder="1" applyAlignment="1">
      <alignment horizontal="left"/>
    </xf>
    <xf numFmtId="167" fontId="3" fillId="0" borderId="25" xfId="2" applyNumberFormat="1" applyFont="1" applyBorder="1" applyAlignment="1">
      <alignment horizontal="left" indent="2"/>
    </xf>
    <xf numFmtId="167" fontId="3" fillId="0" borderId="25" xfId="2" applyNumberFormat="1" applyFont="1" applyFill="1" applyBorder="1" applyAlignment="1">
      <alignment horizontal="left" indent="2"/>
    </xf>
    <xf numFmtId="167" fontId="3" fillId="0" borderId="25" xfId="2" applyNumberFormat="1" applyFont="1" applyFill="1" applyBorder="1" applyAlignment="1">
      <alignment horizontal="left" indent="1"/>
    </xf>
    <xf numFmtId="167" fontId="1" fillId="7" borderId="51" xfId="2" applyNumberFormat="1" applyFont="1" applyFill="1" applyBorder="1"/>
    <xf numFmtId="167" fontId="1" fillId="7" borderId="31" xfId="2" applyNumberFormat="1" applyFont="1" applyFill="1" applyBorder="1"/>
    <xf numFmtId="167" fontId="1" fillId="7" borderId="33" xfId="2" applyNumberFormat="1" applyFont="1" applyFill="1" applyBorder="1"/>
    <xf numFmtId="167" fontId="1" fillId="7" borderId="30" xfId="2" applyNumberFormat="1" applyFont="1" applyFill="1" applyBorder="1"/>
    <xf numFmtId="167" fontId="1" fillId="7" borderId="33" xfId="2" applyNumberFormat="1" applyFont="1" applyFill="1" applyBorder="1" applyAlignment="1">
      <alignment horizontal="center"/>
    </xf>
    <xf numFmtId="166" fontId="1" fillId="7" borderId="31" xfId="2" applyNumberFormat="1" applyFont="1" applyFill="1" applyBorder="1"/>
    <xf numFmtId="166" fontId="1" fillId="7" borderId="33" xfId="2" applyNumberFormat="1" applyFont="1" applyFill="1" applyBorder="1" applyAlignment="1">
      <alignment horizontal="center"/>
    </xf>
    <xf numFmtId="167" fontId="1" fillId="7" borderId="31" xfId="2" applyNumberFormat="1" applyFont="1" applyFill="1" applyBorder="1" applyAlignment="1">
      <alignment horizontal="center"/>
    </xf>
    <xf numFmtId="167" fontId="1" fillId="7" borderId="4" xfId="2" applyNumberFormat="1" applyFont="1" applyFill="1" applyBorder="1"/>
    <xf numFmtId="167" fontId="1" fillId="7" borderId="24" xfId="2" applyNumberFormat="1" applyFont="1" applyFill="1" applyBorder="1"/>
    <xf numFmtId="167" fontId="3" fillId="7" borderId="5" xfId="2" applyNumberFormat="1" applyFont="1" applyFill="1" applyBorder="1" applyAlignment="1">
      <alignment horizontal="center"/>
    </xf>
    <xf numFmtId="166" fontId="1" fillId="7" borderId="5" xfId="2" applyNumberFormat="1" applyFont="1" applyFill="1" applyBorder="1"/>
    <xf numFmtId="166" fontId="1" fillId="7" borderId="24" xfId="2" applyNumberFormat="1" applyFont="1" applyFill="1" applyBorder="1"/>
    <xf numFmtId="166" fontId="3" fillId="7" borderId="5" xfId="2" applyNumberFormat="1" applyFont="1" applyFill="1" applyBorder="1" applyAlignment="1">
      <alignment horizontal="center"/>
    </xf>
    <xf numFmtId="167" fontId="3" fillId="7" borderId="29" xfId="2" applyNumberFormat="1" applyFont="1" applyFill="1" applyBorder="1" applyAlignment="1">
      <alignment horizontal="center"/>
    </xf>
    <xf numFmtId="166" fontId="3" fillId="7" borderId="29" xfId="2" applyNumberFormat="1" applyFont="1" applyFill="1" applyBorder="1" applyAlignment="1">
      <alignment horizontal="center"/>
    </xf>
    <xf numFmtId="166" fontId="1" fillId="7" borderId="29" xfId="2" applyNumberFormat="1" applyFont="1" applyFill="1" applyBorder="1"/>
    <xf numFmtId="167" fontId="1" fillId="7" borderId="29" xfId="2" applyNumberFormat="1" applyFont="1" applyFill="1" applyBorder="1"/>
    <xf numFmtId="166" fontId="1" fillId="7" borderId="54" xfId="2" applyNumberFormat="1" applyFont="1" applyFill="1" applyBorder="1"/>
    <xf numFmtId="167" fontId="1" fillId="45" borderId="51" xfId="2" applyNumberFormat="1" applyFont="1" applyFill="1" applyBorder="1"/>
    <xf numFmtId="167" fontId="3" fillId="45" borderId="31" xfId="2" applyNumberFormat="1" applyFont="1" applyFill="1" applyBorder="1"/>
    <xf numFmtId="167" fontId="3" fillId="45" borderId="33" xfId="2" applyNumberFormat="1" applyFont="1" applyFill="1" applyBorder="1"/>
    <xf numFmtId="166" fontId="3" fillId="45" borderId="33" xfId="2" applyNumberFormat="1" applyFont="1" applyFill="1" applyBorder="1"/>
    <xf numFmtId="166" fontId="3" fillId="45" borderId="31" xfId="2" applyNumberFormat="1" applyFont="1" applyFill="1" applyBorder="1"/>
    <xf numFmtId="167" fontId="3" fillId="45" borderId="30" xfId="2" applyNumberFormat="1" applyFont="1" applyFill="1" applyBorder="1"/>
    <xf numFmtId="166" fontId="3" fillId="45" borderId="30" xfId="2" applyNumberFormat="1" applyFont="1" applyFill="1" applyBorder="1"/>
    <xf numFmtId="167" fontId="1" fillId="45" borderId="27" xfId="2" applyNumberFormat="1" applyFont="1" applyFill="1" applyBorder="1"/>
    <xf numFmtId="167" fontId="1" fillId="45" borderId="26" xfId="2" applyNumberFormat="1" applyFont="1" applyFill="1" applyBorder="1"/>
    <xf numFmtId="167" fontId="10" fillId="45" borderId="3" xfId="2" applyNumberFormat="1" applyFont="1" applyFill="1" applyBorder="1" applyAlignment="1">
      <alignment horizontal="center"/>
    </xf>
    <xf numFmtId="166" fontId="1" fillId="45" borderId="3" xfId="2" applyNumberFormat="1" applyFont="1" applyFill="1" applyBorder="1"/>
    <xf numFmtId="166" fontId="1" fillId="45" borderId="26" xfId="2" applyNumberFormat="1" applyFont="1" applyFill="1" applyBorder="1"/>
    <xf numFmtId="166" fontId="10" fillId="45" borderId="3" xfId="2" applyNumberFormat="1" applyFont="1" applyFill="1" applyBorder="1" applyAlignment="1">
      <alignment horizontal="center"/>
    </xf>
    <xf numFmtId="166" fontId="10" fillId="45" borderId="46" xfId="2" applyNumberFormat="1" applyFont="1" applyFill="1" applyBorder="1" applyAlignment="1">
      <alignment horizontal="center"/>
    </xf>
    <xf numFmtId="166" fontId="1" fillId="45" borderId="28" xfId="2" applyNumberFormat="1" applyFont="1" applyFill="1" applyBorder="1"/>
    <xf numFmtId="167" fontId="1" fillId="44" borderId="55" xfId="2" applyNumberFormat="1" applyFont="1" applyFill="1" applyBorder="1"/>
    <xf numFmtId="167" fontId="1" fillId="44" borderId="21" xfId="2" applyNumberFormat="1" applyFont="1" applyFill="1" applyBorder="1"/>
    <xf numFmtId="167" fontId="1" fillId="44" borderId="20" xfId="2" applyNumberFormat="1" applyFont="1" applyFill="1" applyBorder="1"/>
    <xf numFmtId="166" fontId="1" fillId="44" borderId="20" xfId="2" applyNumberFormat="1" applyFont="1" applyFill="1" applyBorder="1"/>
    <xf numFmtId="166" fontId="1" fillId="44" borderId="21" xfId="2" applyNumberFormat="1" applyFont="1" applyFill="1" applyBorder="1"/>
    <xf numFmtId="167" fontId="1" fillId="44" borderId="19" xfId="2" applyNumberFormat="1" applyFont="1" applyFill="1" applyBorder="1"/>
    <xf numFmtId="166" fontId="1" fillId="44" borderId="19" xfId="2" applyNumberFormat="1" applyFont="1" applyFill="1" applyBorder="1"/>
    <xf numFmtId="167" fontId="1" fillId="44" borderId="27" xfId="2" applyNumberFormat="1" applyFont="1" applyFill="1" applyBorder="1"/>
    <xf numFmtId="167" fontId="1" fillId="44" borderId="26" xfId="2" applyNumberFormat="1" applyFont="1" applyFill="1" applyBorder="1"/>
    <xf numFmtId="167" fontId="1" fillId="44" borderId="3" xfId="2" applyNumberFormat="1" applyFont="1" applyFill="1" applyBorder="1"/>
    <xf numFmtId="166" fontId="1" fillId="44" borderId="3" xfId="2" applyNumberFormat="1" applyFont="1" applyFill="1" applyBorder="1"/>
    <xf numFmtId="166" fontId="1" fillId="44" borderId="26" xfId="2" applyNumberFormat="1" applyFont="1" applyFill="1" applyBorder="1"/>
    <xf numFmtId="166" fontId="1" fillId="44" borderId="28" xfId="2" applyNumberFormat="1" applyFont="1" applyFill="1" applyBorder="1"/>
    <xf numFmtId="167" fontId="1" fillId="46" borderId="55" xfId="2" applyNumberFormat="1" applyFont="1" applyFill="1" applyBorder="1" applyAlignment="1">
      <alignment wrapText="1"/>
    </xf>
    <xf numFmtId="167" fontId="1" fillId="46" borderId="21" xfId="2" applyNumberFormat="1" applyFont="1" applyFill="1" applyBorder="1"/>
    <xf numFmtId="167" fontId="1" fillId="46" borderId="20" xfId="2" applyNumberFormat="1" applyFont="1" applyFill="1" applyBorder="1"/>
    <xf numFmtId="166" fontId="1" fillId="46" borderId="20" xfId="2" applyNumberFormat="1" applyFont="1" applyFill="1" applyBorder="1"/>
    <xf numFmtId="166" fontId="1" fillId="46" borderId="21" xfId="2" applyNumberFormat="1" applyFont="1" applyFill="1" applyBorder="1"/>
    <xf numFmtId="167" fontId="1" fillId="46" borderId="27" xfId="2" applyNumberFormat="1" applyFont="1" applyFill="1" applyBorder="1"/>
    <xf numFmtId="167" fontId="1" fillId="46" borderId="26" xfId="2" applyNumberFormat="1" applyFont="1" applyFill="1" applyBorder="1"/>
    <xf numFmtId="167" fontId="1" fillId="46" borderId="3" xfId="2" applyNumberFormat="1" applyFont="1" applyFill="1" applyBorder="1" applyAlignment="1">
      <alignment horizontal="center"/>
    </xf>
    <xf numFmtId="166" fontId="1" fillId="46" borderId="26" xfId="2" applyNumberFormat="1" applyFont="1" applyFill="1" applyBorder="1"/>
    <xf numFmtId="167" fontId="1" fillId="46" borderId="46" xfId="2" applyNumberFormat="1" applyFont="1" applyFill="1" applyBorder="1" applyAlignment="1">
      <alignment horizontal="center"/>
    </xf>
    <xf numFmtId="166" fontId="1" fillId="46" borderId="3" xfId="2" applyNumberFormat="1" applyFont="1" applyFill="1" applyBorder="1" applyAlignment="1">
      <alignment horizontal="center"/>
    </xf>
    <xf numFmtId="0" fontId="1" fillId="47" borderId="55" xfId="0" applyFont="1" applyFill="1" applyBorder="1" applyAlignment="1">
      <alignment vertical="center"/>
    </xf>
    <xf numFmtId="0" fontId="1" fillId="47" borderId="21" xfId="0" applyFont="1" applyFill="1" applyBorder="1" applyAlignment="1">
      <alignment vertical="center"/>
    </xf>
    <xf numFmtId="0" fontId="1" fillId="47" borderId="20" xfId="0" applyFont="1" applyFill="1" applyBorder="1" applyAlignment="1">
      <alignment vertical="center"/>
    </xf>
    <xf numFmtId="166" fontId="1" fillId="47" borderId="20" xfId="0" applyNumberFormat="1" applyFont="1" applyFill="1" applyBorder="1" applyAlignment="1">
      <alignment vertical="center"/>
    </xf>
    <xf numFmtId="166" fontId="1" fillId="47" borderId="21" xfId="0" applyNumberFormat="1" applyFont="1" applyFill="1" applyBorder="1" applyAlignment="1">
      <alignment vertical="center"/>
    </xf>
    <xf numFmtId="0" fontId="1" fillId="47" borderId="19" xfId="0" applyFont="1" applyFill="1" applyBorder="1" applyAlignment="1">
      <alignment vertical="center"/>
    </xf>
    <xf numFmtId="166" fontId="1" fillId="47" borderId="20" xfId="2" applyNumberFormat="1" applyFont="1" applyFill="1" applyBorder="1" applyAlignment="1">
      <alignment vertical="center"/>
    </xf>
    <xf numFmtId="0" fontId="1" fillId="47" borderId="27" xfId="0" applyFont="1" applyFill="1" applyBorder="1" applyAlignment="1">
      <alignment vertical="center"/>
    </xf>
    <xf numFmtId="0" fontId="1" fillId="47" borderId="26" xfId="0" applyFont="1" applyFill="1" applyBorder="1" applyAlignment="1">
      <alignment vertical="center"/>
    </xf>
    <xf numFmtId="166" fontId="1" fillId="47" borderId="26" xfId="0" applyNumberFormat="1" applyFont="1" applyFill="1" applyBorder="1" applyAlignment="1">
      <alignment vertical="center"/>
    </xf>
    <xf numFmtId="0" fontId="1" fillId="47" borderId="46" xfId="0" applyFont="1" applyFill="1" applyBorder="1" applyAlignment="1">
      <alignment vertical="center"/>
    </xf>
    <xf numFmtId="166" fontId="1" fillId="47" borderId="26" xfId="2" applyNumberFormat="1" applyFont="1" applyFill="1" applyBorder="1" applyAlignment="1">
      <alignment vertical="center"/>
    </xf>
    <xf numFmtId="0" fontId="1" fillId="47" borderId="3" xfId="0" applyFont="1" applyFill="1" applyBorder="1" applyAlignment="1">
      <alignment vertical="center"/>
    </xf>
    <xf numFmtId="166" fontId="1" fillId="47" borderId="3" xfId="2" applyNumberFormat="1" applyFont="1" applyFill="1" applyBorder="1" applyAlignment="1">
      <alignment vertical="center"/>
    </xf>
    <xf numFmtId="166" fontId="3" fillId="0" borderId="21" xfId="2" applyNumberFormat="1" applyFont="1" applyBorder="1" applyAlignment="1">
      <alignment horizontal="center"/>
    </xf>
    <xf numFmtId="167" fontId="1" fillId="7" borderId="30" xfId="2" applyNumberFormat="1" applyFont="1" applyFill="1" applyBorder="1" applyAlignment="1">
      <alignment horizontal="center"/>
    </xf>
    <xf numFmtId="0" fontId="1" fillId="47" borderId="33" xfId="0" applyFont="1" applyFill="1" applyBorder="1" applyAlignment="1">
      <alignment vertical="center"/>
    </xf>
    <xf numFmtId="0" fontId="1" fillId="47" borderId="31" xfId="0" applyFont="1" applyFill="1" applyBorder="1" applyAlignment="1">
      <alignment vertical="center"/>
    </xf>
    <xf numFmtId="0" fontId="0" fillId="0" borderId="0" xfId="0" applyFont="1" applyFill="1" applyBorder="1" applyAlignment="1">
      <alignment vertical="center"/>
    </xf>
    <xf numFmtId="166" fontId="0" fillId="0" borderId="2" xfId="0" applyNumberFormat="1" applyFont="1" applyFill="1" applyBorder="1" applyAlignment="1">
      <alignment vertical="center"/>
    </xf>
    <xf numFmtId="167" fontId="1" fillId="44" borderId="32" xfId="2" applyNumberFormat="1" applyFont="1" applyFill="1" applyBorder="1"/>
    <xf numFmtId="167" fontId="1" fillId="44" borderId="32" xfId="2" applyNumberFormat="1" applyFont="1" applyFill="1" applyBorder="1" applyAlignment="1">
      <alignment wrapText="1"/>
    </xf>
    <xf numFmtId="167" fontId="1" fillId="46" borderId="32" xfId="2" applyNumberFormat="1" applyFont="1" applyFill="1" applyBorder="1" applyAlignment="1">
      <alignment wrapText="1"/>
    </xf>
    <xf numFmtId="167" fontId="1" fillId="46" borderId="32" xfId="2" applyNumberFormat="1" applyFont="1" applyFill="1" applyBorder="1"/>
    <xf numFmtId="167" fontId="1" fillId="46" borderId="32" xfId="2" applyNumberFormat="1" applyFont="1" applyFill="1" applyBorder="1" applyAlignment="1">
      <alignment horizontal="center" wrapText="1"/>
    </xf>
    <xf numFmtId="0" fontId="1" fillId="47" borderId="32" xfId="0" applyFont="1" applyFill="1" applyBorder="1" applyAlignment="1">
      <alignment vertical="center"/>
    </xf>
    <xf numFmtId="0" fontId="1" fillId="47" borderId="32" xfId="0" applyFont="1" applyFill="1" applyBorder="1" applyAlignment="1">
      <alignment vertical="center" wrapText="1"/>
    </xf>
    <xf numFmtId="1" fontId="13" fillId="0" borderId="0" xfId="10" applyNumberFormat="1" applyBorder="1"/>
    <xf numFmtId="0" fontId="13" fillId="0" borderId="0" xfId="10" applyBorder="1"/>
    <xf numFmtId="0" fontId="13" fillId="0" borderId="0" xfId="10" applyBorder="1" applyAlignment="1">
      <alignment wrapText="1"/>
    </xf>
    <xf numFmtId="167" fontId="1" fillId="0" borderId="32" xfId="2" applyNumberFormat="1" applyFont="1" applyBorder="1"/>
    <xf numFmtId="0" fontId="1" fillId="0" borderId="32" xfId="0" applyFont="1" applyBorder="1"/>
    <xf numFmtId="0" fontId="1" fillId="0" borderId="32" xfId="0" applyFont="1" applyBorder="1" applyAlignment="1">
      <alignment wrapText="1"/>
    </xf>
    <xf numFmtId="167" fontId="1" fillId="0" borderId="32" xfId="2" applyNumberFormat="1" applyFont="1" applyBorder="1" applyAlignment="1">
      <alignment horizontal="left" indent="1"/>
    </xf>
    <xf numFmtId="167" fontId="56" fillId="50" borderId="27" xfId="2" applyNumberFormat="1" applyFont="1" applyFill="1" applyBorder="1"/>
    <xf numFmtId="167" fontId="56" fillId="50" borderId="26" xfId="2" applyNumberFormat="1" applyFont="1" applyFill="1" applyBorder="1"/>
    <xf numFmtId="167" fontId="56" fillId="50" borderId="11" xfId="2" applyNumberFormat="1" applyFont="1" applyFill="1" applyBorder="1"/>
    <xf numFmtId="166" fontId="56" fillId="50" borderId="26" xfId="2" applyNumberFormat="1" applyFont="1" applyFill="1" applyBorder="1"/>
    <xf numFmtId="166" fontId="56" fillId="50" borderId="23" xfId="2" applyNumberFormat="1" applyFont="1" applyFill="1" applyBorder="1"/>
    <xf numFmtId="43" fontId="56" fillId="50" borderId="11" xfId="2" applyFont="1" applyFill="1" applyBorder="1"/>
    <xf numFmtId="166" fontId="56" fillId="50" borderId="28" xfId="2" applyNumberFormat="1" applyFont="1" applyFill="1" applyBorder="1"/>
    <xf numFmtId="0" fontId="57" fillId="0" borderId="11" xfId="0" applyFont="1" applyFill="1" applyBorder="1" applyAlignment="1">
      <alignment vertical="center"/>
    </xf>
    <xf numFmtId="166" fontId="57" fillId="0" borderId="23" xfId="0" applyNumberFormat="1" applyFont="1" applyFill="1" applyBorder="1" applyAlignment="1">
      <alignment vertical="center"/>
    </xf>
    <xf numFmtId="166" fontId="57" fillId="0" borderId="11" xfId="0" applyNumberFormat="1" applyFont="1" applyFill="1" applyBorder="1" applyAlignment="1">
      <alignment vertical="center"/>
    </xf>
    <xf numFmtId="166" fontId="57" fillId="0" borderId="23" xfId="2" applyNumberFormat="1" applyFont="1" applyFill="1" applyBorder="1" applyAlignment="1">
      <alignment vertical="center"/>
    </xf>
    <xf numFmtId="166" fontId="57" fillId="0" borderId="48" xfId="2" applyNumberFormat="1" applyFont="1" applyFill="1" applyBorder="1" applyAlignment="1">
      <alignment vertical="center"/>
    </xf>
    <xf numFmtId="1" fontId="1" fillId="7" borderId="33" xfId="0" applyNumberFormat="1" applyFont="1" applyFill="1" applyBorder="1" applyAlignment="1">
      <alignment vertical="center"/>
    </xf>
    <xf numFmtId="0" fontId="0" fillId="7" borderId="31" xfId="0" applyFill="1" applyBorder="1" applyAlignment="1">
      <alignment vertical="center"/>
    </xf>
    <xf numFmtId="0" fontId="0" fillId="47" borderId="31" xfId="0" applyFont="1" applyFill="1" applyBorder="1" applyAlignment="1">
      <alignment vertical="center" wrapText="1"/>
    </xf>
    <xf numFmtId="0" fontId="1" fillId="48" borderId="32" xfId="0" applyFont="1" applyFill="1" applyBorder="1" applyAlignment="1">
      <alignment vertical="center"/>
    </xf>
    <xf numFmtId="0" fontId="1" fillId="0" borderId="0" xfId="0" applyFont="1" applyFill="1" applyAlignment="1">
      <alignment horizontal="left" vertical="center"/>
    </xf>
    <xf numFmtId="0" fontId="0" fillId="0" borderId="0" xfId="0" applyAlignment="1">
      <alignment horizontal="left" vertical="center" indent="2"/>
    </xf>
    <xf numFmtId="167" fontId="0" fillId="0" borderId="1" xfId="2" applyNumberFormat="1" applyFont="1" applyBorder="1"/>
    <xf numFmtId="0" fontId="0" fillId="0" borderId="47" xfId="0" applyBorder="1"/>
    <xf numFmtId="0" fontId="0" fillId="0" borderId="2" xfId="0" applyBorder="1" applyAlignment="1">
      <alignment wrapText="1"/>
    </xf>
    <xf numFmtId="1" fontId="1" fillId="7" borderId="30" xfId="0" applyNumberFormat="1" applyFont="1" applyFill="1" applyBorder="1" applyAlignment="1">
      <alignment vertical="center"/>
    </xf>
    <xf numFmtId="1" fontId="1" fillId="7" borderId="31" xfId="0" applyNumberFormat="1" applyFont="1" applyFill="1" applyBorder="1" applyAlignment="1">
      <alignment vertical="center"/>
    </xf>
    <xf numFmtId="167" fontId="0" fillId="0" borderId="34" xfId="2" applyNumberFormat="1" applyFont="1" applyBorder="1"/>
    <xf numFmtId="0" fontId="0" fillId="0" borderId="34" xfId="0" applyBorder="1"/>
    <xf numFmtId="167" fontId="0" fillId="0" borderId="47" xfId="2" applyNumberFormat="1" applyFont="1" applyBorder="1"/>
    <xf numFmtId="1" fontId="1" fillId="51" borderId="30" xfId="0" applyNumberFormat="1" applyFont="1" applyFill="1" applyBorder="1" applyAlignment="1">
      <alignment vertical="center"/>
    </xf>
    <xf numFmtId="0" fontId="0" fillId="51" borderId="31" xfId="0" applyFill="1" applyBorder="1" applyAlignment="1">
      <alignment vertical="center"/>
    </xf>
    <xf numFmtId="167" fontId="0" fillId="0" borderId="47" xfId="2" applyNumberFormat="1" applyFont="1" applyFill="1" applyBorder="1"/>
    <xf numFmtId="0" fontId="1" fillId="44" borderId="30" xfId="0" applyFont="1" applyFill="1" applyBorder="1" applyAlignment="1">
      <alignment vertical="center"/>
    </xf>
    <xf numFmtId="0" fontId="0" fillId="44" borderId="31" xfId="0" applyFill="1" applyBorder="1" applyAlignment="1">
      <alignment vertical="center"/>
    </xf>
    <xf numFmtId="0" fontId="0" fillId="0" borderId="35" xfId="0" applyBorder="1" applyAlignment="1">
      <alignment wrapText="1"/>
    </xf>
    <xf numFmtId="0" fontId="1" fillId="45" borderId="30" xfId="0" applyFont="1" applyFill="1" applyBorder="1" applyAlignment="1">
      <alignment vertical="center"/>
    </xf>
    <xf numFmtId="0" fontId="0" fillId="45" borderId="31" xfId="0" applyFill="1" applyBorder="1" applyAlignment="1">
      <alignment vertical="center"/>
    </xf>
    <xf numFmtId="1" fontId="0" fillId="45" borderId="31" xfId="0" applyNumberFormat="1" applyFill="1" applyBorder="1" applyAlignment="1">
      <alignment vertical="center"/>
    </xf>
    <xf numFmtId="0" fontId="0" fillId="45" borderId="32" xfId="0" applyFill="1" applyBorder="1" applyAlignment="1">
      <alignment horizontal="left" vertical="center"/>
    </xf>
    <xf numFmtId="0" fontId="0" fillId="45" borderId="32" xfId="0" applyFill="1" applyBorder="1" applyAlignment="1">
      <alignment horizontal="left" wrapText="1"/>
    </xf>
    <xf numFmtId="0" fontId="1" fillId="46" borderId="30" xfId="0" applyFont="1" applyFill="1" applyBorder="1" applyAlignment="1">
      <alignment horizontal="left" vertical="center"/>
    </xf>
    <xf numFmtId="1" fontId="0" fillId="46" borderId="31" xfId="0" applyNumberFormat="1" applyFill="1" applyBorder="1" applyAlignment="1">
      <alignment vertical="center"/>
    </xf>
    <xf numFmtId="167" fontId="0" fillId="46" borderId="32" xfId="2" applyNumberFormat="1" applyFont="1" applyFill="1" applyBorder="1" applyAlignment="1">
      <alignment horizontal="left" vertical="center"/>
    </xf>
    <xf numFmtId="0" fontId="0" fillId="46" borderId="32" xfId="0" applyFill="1" applyBorder="1" applyAlignment="1">
      <alignment vertical="center"/>
    </xf>
    <xf numFmtId="0" fontId="0" fillId="46" borderId="32" xfId="0" applyFill="1" applyBorder="1" applyAlignment="1">
      <alignment horizontal="left" wrapText="1"/>
    </xf>
    <xf numFmtId="1" fontId="0" fillId="43" borderId="0" xfId="0" applyNumberFormat="1" applyFill="1" applyBorder="1" applyAlignment="1">
      <alignment horizontal="left" vertical="center"/>
    </xf>
    <xf numFmtId="1" fontId="0" fillId="43" borderId="0" xfId="0" applyNumberFormat="1" applyFill="1" applyBorder="1" applyAlignment="1">
      <alignment vertical="center"/>
    </xf>
    <xf numFmtId="1" fontId="0" fillId="0" borderId="0" xfId="0" applyNumberFormat="1" applyBorder="1" applyAlignment="1">
      <alignment vertical="center"/>
    </xf>
    <xf numFmtId="1" fontId="0" fillId="43" borderId="18" xfId="0" applyNumberFormat="1" applyFill="1" applyBorder="1" applyAlignment="1">
      <alignment vertical="center"/>
    </xf>
    <xf numFmtId="1" fontId="0" fillId="43" borderId="34" xfId="0" applyNumberFormat="1" applyFill="1" applyBorder="1" applyAlignment="1">
      <alignment vertical="center"/>
    </xf>
    <xf numFmtId="1" fontId="0" fillId="43" borderId="19" xfId="0" applyNumberFormat="1" applyFill="1" applyBorder="1" applyAlignment="1">
      <alignment vertical="center"/>
    </xf>
    <xf numFmtId="1" fontId="0" fillId="43" borderId="20" xfId="0" applyNumberFormat="1" applyFill="1" applyBorder="1" applyAlignment="1">
      <alignment vertical="center"/>
    </xf>
    <xf numFmtId="1" fontId="0" fillId="43" borderId="21" xfId="0" applyNumberFormat="1" applyFill="1" applyBorder="1" applyAlignment="1">
      <alignment vertical="center"/>
    </xf>
    <xf numFmtId="166" fontId="0" fillId="0" borderId="0" xfId="2" applyNumberFormat="1" applyFont="1" applyBorder="1"/>
    <xf numFmtId="166" fontId="0" fillId="0" borderId="0" xfId="2" applyNumberFormat="1" applyFont="1" applyFill="1" applyBorder="1"/>
    <xf numFmtId="164" fontId="1" fillId="0" borderId="57" xfId="0" applyNumberFormat="1" applyFont="1" applyBorder="1" applyAlignment="1">
      <alignment vertical="center"/>
    </xf>
    <xf numFmtId="166" fontId="0" fillId="0" borderId="50" xfId="2" applyNumberFormat="1" applyFont="1" applyBorder="1"/>
    <xf numFmtId="3" fontId="0" fillId="0" borderId="1" xfId="0" applyNumberFormat="1" applyBorder="1"/>
    <xf numFmtId="166" fontId="1" fillId="7" borderId="30" xfId="2" applyNumberFormat="1" applyFont="1" applyFill="1" applyBorder="1" applyAlignment="1">
      <alignment horizontal="center"/>
    </xf>
    <xf numFmtId="166" fontId="3" fillId="0" borderId="1" xfId="2" applyNumberFormat="1" applyFont="1" applyFill="1" applyBorder="1" applyAlignment="1">
      <alignment horizontal="center"/>
    </xf>
    <xf numFmtId="166" fontId="1" fillId="46" borderId="19" xfId="2" applyNumberFormat="1" applyFont="1" applyFill="1" applyBorder="1"/>
    <xf numFmtId="164" fontId="53" fillId="0" borderId="57" xfId="0" applyNumberFormat="1" applyFont="1" applyBorder="1" applyAlignment="1">
      <alignment vertical="center"/>
    </xf>
    <xf numFmtId="166" fontId="1" fillId="44" borderId="46" xfId="2" applyNumberFormat="1" applyFont="1" applyFill="1" applyBorder="1"/>
    <xf numFmtId="166" fontId="1" fillId="0" borderId="1" xfId="2" applyNumberFormat="1" applyFont="1" applyFill="1" applyBorder="1" applyAlignment="1">
      <alignment vertical="center"/>
    </xf>
    <xf numFmtId="166" fontId="1" fillId="47" borderId="46" xfId="2" applyNumberFormat="1" applyFont="1" applyFill="1" applyBorder="1" applyAlignment="1">
      <alignment vertical="center"/>
    </xf>
    <xf numFmtId="166" fontId="1" fillId="46" borderId="46" xfId="2" applyNumberFormat="1" applyFont="1" applyFill="1" applyBorder="1" applyAlignment="1">
      <alignment horizontal="center"/>
    </xf>
    <xf numFmtId="0" fontId="0" fillId="0" borderId="0" xfId="0" applyFill="1" applyAlignment="1">
      <alignment vertical="center"/>
    </xf>
    <xf numFmtId="166" fontId="1" fillId="47" borderId="19" xfId="2" applyNumberFormat="1" applyFont="1" applyFill="1" applyBorder="1" applyAlignment="1">
      <alignment vertical="center"/>
    </xf>
    <xf numFmtId="166" fontId="10" fillId="0" borderId="2" xfId="2" applyNumberFormat="1" applyFont="1" applyFill="1" applyBorder="1"/>
    <xf numFmtId="166" fontId="10" fillId="0" borderId="0" xfId="2" applyNumberFormat="1" applyFont="1" applyFill="1" applyBorder="1"/>
    <xf numFmtId="166" fontId="10" fillId="0" borderId="1" xfId="2" applyNumberFormat="1" applyFont="1" applyFill="1" applyBorder="1"/>
    <xf numFmtId="166" fontId="3" fillId="0" borderId="0" xfId="2" applyNumberFormat="1" applyFont="1" applyFill="1" applyBorder="1"/>
    <xf numFmtId="1" fontId="0" fillId="0" borderId="2" xfId="0" applyNumberFormat="1" applyBorder="1" applyAlignment="1">
      <alignment vertical="center"/>
    </xf>
    <xf numFmtId="0" fontId="0" fillId="0" borderId="2" xfId="0" applyBorder="1" applyAlignment="1">
      <alignment vertical="center"/>
    </xf>
    <xf numFmtId="1" fontId="0" fillId="0" borderId="2" xfId="0" applyNumberFormat="1" applyFill="1" applyBorder="1" applyAlignment="1">
      <alignment vertical="center"/>
    </xf>
    <xf numFmtId="0" fontId="0" fillId="0" borderId="2" xfId="0" applyFill="1" applyBorder="1" applyAlignment="1">
      <alignment vertical="center"/>
    </xf>
    <xf numFmtId="166" fontId="0" fillId="0" borderId="1" xfId="0" applyNumberFormat="1" applyFill="1" applyBorder="1" applyAlignment="1">
      <alignment vertical="center"/>
    </xf>
    <xf numFmtId="166" fontId="0" fillId="0" borderId="1" xfId="0" applyNumberFormat="1" applyBorder="1" applyAlignment="1">
      <alignment vertical="center"/>
    </xf>
    <xf numFmtId="0" fontId="1" fillId="45" borderId="26" xfId="0" applyFont="1" applyFill="1" applyBorder="1" applyAlignment="1">
      <alignment vertical="center"/>
    </xf>
    <xf numFmtId="0" fontId="1" fillId="45" borderId="3" xfId="0" applyFont="1" applyFill="1" applyBorder="1" applyAlignment="1">
      <alignment vertical="center"/>
    </xf>
    <xf numFmtId="0" fontId="0" fillId="0" borderId="0" xfId="0" applyFill="1" applyBorder="1" applyAlignment="1">
      <alignment vertical="center"/>
    </xf>
    <xf numFmtId="0" fontId="0" fillId="0" borderId="1" xfId="0" applyFill="1" applyBorder="1" applyAlignment="1">
      <alignment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1" xfId="0" applyFill="1" applyBorder="1" applyAlignment="1">
      <alignment horizontal="center" vertical="center"/>
    </xf>
    <xf numFmtId="166" fontId="0" fillId="0" borderId="1" xfId="2" applyNumberFormat="1" applyFont="1" applyFill="1" applyBorder="1" applyAlignment="1">
      <alignment horizontal="center" vertical="center"/>
    </xf>
    <xf numFmtId="0" fontId="0" fillId="0" borderId="1" xfId="0" applyBorder="1" applyAlignment="1">
      <alignment horizontal="center" vertical="center"/>
    </xf>
    <xf numFmtId="166" fontId="0" fillId="0" borderId="0" xfId="2" applyNumberFormat="1" applyFont="1" applyBorder="1" applyAlignment="1">
      <alignment horizontal="center" vertical="center"/>
    </xf>
    <xf numFmtId="166" fontId="0" fillId="0" borderId="0" xfId="2" applyNumberFormat="1" applyFont="1" applyFill="1" applyBorder="1" applyAlignment="1">
      <alignment horizontal="center" vertical="center"/>
    </xf>
    <xf numFmtId="166" fontId="1" fillId="7" borderId="26" xfId="2" applyNumberFormat="1" applyFont="1" applyFill="1" applyBorder="1" applyAlignment="1">
      <alignment vertical="center"/>
    </xf>
    <xf numFmtId="166" fontId="0" fillId="0" borderId="0" xfId="2" applyNumberFormat="1" applyFont="1" applyBorder="1" applyAlignment="1">
      <alignment horizontal="right" vertical="center"/>
    </xf>
    <xf numFmtId="166" fontId="0" fillId="0" borderId="2" xfId="2" applyNumberFormat="1" applyFont="1" applyBorder="1" applyAlignment="1">
      <alignment horizontal="right" vertical="center"/>
    </xf>
    <xf numFmtId="166" fontId="0" fillId="0" borderId="2" xfId="2" applyNumberFormat="1" applyFont="1" applyBorder="1" applyAlignment="1">
      <alignment horizontal="center" vertical="center"/>
    </xf>
    <xf numFmtId="166" fontId="0" fillId="0" borderId="23" xfId="2" applyNumberFormat="1" applyFont="1" applyBorder="1" applyAlignment="1">
      <alignment horizontal="center" vertical="center"/>
    </xf>
    <xf numFmtId="166" fontId="0" fillId="0" borderId="23" xfId="2" applyNumberFormat="1" applyFont="1" applyBorder="1" applyAlignment="1">
      <alignment horizontal="right" vertical="center"/>
    </xf>
    <xf numFmtId="166" fontId="3" fillId="0" borderId="1" xfId="2" applyNumberFormat="1" applyFont="1" applyBorder="1"/>
    <xf numFmtId="166" fontId="3" fillId="0" borderId="1" xfId="2" applyNumberFormat="1" applyFont="1" applyFill="1" applyBorder="1"/>
    <xf numFmtId="166" fontId="3" fillId="0" borderId="2" xfId="2" applyNumberFormat="1" applyFont="1" applyFill="1" applyBorder="1"/>
    <xf numFmtId="166" fontId="3" fillId="0" borderId="2" xfId="2" applyNumberFormat="1" applyFont="1" applyBorder="1"/>
    <xf numFmtId="166" fontId="3" fillId="0" borderId="1" xfId="2" applyNumberFormat="1" applyFont="1" applyBorder="1" applyAlignment="1">
      <alignment horizontal="center"/>
    </xf>
    <xf numFmtId="166" fontId="46" fillId="0" borderId="2" xfId="2" applyNumberFormat="1" applyFont="1" applyFill="1" applyBorder="1"/>
    <xf numFmtId="166" fontId="46" fillId="0" borderId="1" xfId="2" applyNumberFormat="1" applyFont="1" applyBorder="1"/>
    <xf numFmtId="166" fontId="3" fillId="0" borderId="2" xfId="0" applyNumberFormat="1" applyFont="1" applyBorder="1"/>
    <xf numFmtId="166" fontId="3" fillId="0" borderId="2" xfId="2" applyNumberFormat="1" applyFont="1" applyFill="1" applyBorder="1" applyAlignment="1">
      <alignment vertical="center"/>
    </xf>
    <xf numFmtId="43" fontId="0" fillId="0" borderId="0" xfId="2" applyNumberFormat="1" applyFont="1" applyFill="1" applyBorder="1" applyAlignment="1">
      <alignment vertical="center"/>
    </xf>
    <xf numFmtId="166" fontId="0" fillId="0" borderId="2" xfId="2" applyNumberFormat="1" applyFont="1" applyFill="1" applyBorder="1" applyAlignment="1">
      <alignment horizontal="center" vertical="center"/>
    </xf>
    <xf numFmtId="166" fontId="0" fillId="0" borderId="0" xfId="2" applyNumberFormat="1" applyFont="1" applyBorder="1" applyAlignment="1">
      <alignment vertical="center"/>
    </xf>
    <xf numFmtId="166" fontId="1" fillId="45" borderId="26" xfId="2" applyNumberFormat="1" applyFont="1" applyFill="1" applyBorder="1" applyAlignment="1">
      <alignment vertical="center"/>
    </xf>
    <xf numFmtId="166" fontId="0" fillId="0" borderId="2" xfId="2" applyNumberFormat="1" applyFont="1" applyBorder="1" applyAlignment="1">
      <alignment vertical="center"/>
    </xf>
    <xf numFmtId="167" fontId="1" fillId="7" borderId="31" xfId="2" applyNumberFormat="1" applyFont="1" applyFill="1" applyBorder="1"/>
    <xf numFmtId="167" fontId="1" fillId="7" borderId="30" xfId="2" applyNumberFormat="1" applyFont="1" applyFill="1" applyBorder="1"/>
    <xf numFmtId="166" fontId="1" fillId="7" borderId="31" xfId="2" applyNumberFormat="1" applyFont="1" applyFill="1" applyBorder="1"/>
    <xf numFmtId="166" fontId="1" fillId="7" borderId="5" xfId="2" applyNumberFormat="1" applyFont="1" applyFill="1" applyBorder="1"/>
    <xf numFmtId="166" fontId="1" fillId="7" borderId="24" xfId="2" applyNumberFormat="1" applyFont="1" applyFill="1" applyBorder="1"/>
    <xf numFmtId="166" fontId="1" fillId="7" borderId="29" xfId="2" applyNumberFormat="1" applyFont="1" applyFill="1" applyBorder="1"/>
    <xf numFmtId="166" fontId="3" fillId="45" borderId="31" xfId="2" applyNumberFormat="1" applyFont="1" applyFill="1" applyBorder="1"/>
    <xf numFmtId="166" fontId="3" fillId="45" borderId="30" xfId="2" applyNumberFormat="1" applyFont="1" applyFill="1" applyBorder="1"/>
    <xf numFmtId="166" fontId="1" fillId="45" borderId="26" xfId="2" applyNumberFormat="1" applyFont="1" applyFill="1" applyBorder="1"/>
    <xf numFmtId="166" fontId="10" fillId="45" borderId="46" xfId="2" applyNumberFormat="1" applyFont="1" applyFill="1" applyBorder="1" applyAlignment="1">
      <alignment horizontal="center"/>
    </xf>
    <xf numFmtId="166" fontId="1" fillId="44" borderId="21" xfId="2" applyNumberFormat="1" applyFont="1" applyFill="1" applyBorder="1"/>
    <xf numFmtId="166" fontId="1" fillId="44" borderId="19" xfId="2" applyNumberFormat="1" applyFont="1" applyFill="1" applyBorder="1"/>
    <xf numFmtId="166" fontId="1" fillId="44" borderId="26" xfId="2" applyNumberFormat="1" applyFont="1" applyFill="1" applyBorder="1"/>
    <xf numFmtId="166" fontId="1" fillId="46" borderId="21" xfId="2" applyNumberFormat="1" applyFont="1" applyFill="1" applyBorder="1"/>
    <xf numFmtId="166" fontId="1" fillId="46" borderId="26" xfId="2" applyNumberFormat="1" applyFont="1" applyFill="1" applyBorder="1"/>
    <xf numFmtId="166" fontId="1" fillId="47" borderId="21" xfId="2" applyNumberFormat="1" applyFont="1" applyFill="1" applyBorder="1" applyAlignment="1">
      <alignment vertical="center"/>
    </xf>
    <xf numFmtId="0" fontId="1" fillId="47" borderId="27" xfId="0" applyFont="1" applyFill="1" applyBorder="1" applyAlignment="1">
      <alignment vertical="center"/>
    </xf>
    <xf numFmtId="0" fontId="1" fillId="47" borderId="26" xfId="0" applyFont="1" applyFill="1" applyBorder="1" applyAlignment="1">
      <alignment vertical="center"/>
    </xf>
    <xf numFmtId="166" fontId="1" fillId="47" borderId="26" xfId="2" applyNumberFormat="1" applyFont="1" applyFill="1" applyBorder="1" applyAlignment="1">
      <alignment vertical="center"/>
    </xf>
    <xf numFmtId="166" fontId="3" fillId="0" borderId="21" xfId="2" applyNumberFormat="1" applyFont="1" applyBorder="1" applyAlignment="1">
      <alignment horizontal="center"/>
    </xf>
    <xf numFmtId="0" fontId="1" fillId="7" borderId="26" xfId="0" applyFont="1" applyFill="1" applyBorder="1" applyAlignment="1">
      <alignment vertical="center"/>
    </xf>
    <xf numFmtId="0" fontId="0" fillId="45" borderId="24" xfId="0" applyFill="1" applyBorder="1" applyAlignment="1">
      <alignment vertical="center"/>
    </xf>
    <xf numFmtId="0" fontId="0" fillId="45" borderId="0" xfId="0" applyFill="1" applyBorder="1" applyAlignment="1">
      <alignment vertical="center"/>
    </xf>
    <xf numFmtId="0" fontId="0" fillId="45" borderId="1" xfId="0" applyFill="1" applyBorder="1" applyAlignment="1">
      <alignment vertical="center"/>
    </xf>
    <xf numFmtId="164" fontId="0" fillId="45" borderId="24" xfId="0" applyNumberFormat="1" applyFill="1" applyBorder="1" applyAlignment="1">
      <alignment vertical="center"/>
    </xf>
    <xf numFmtId="0" fontId="1" fillId="45" borderId="46" xfId="0" applyFont="1" applyFill="1" applyBorder="1" applyAlignment="1">
      <alignment vertical="center"/>
    </xf>
    <xf numFmtId="0" fontId="0" fillId="44" borderId="1" xfId="0" applyFill="1" applyBorder="1" applyAlignment="1">
      <alignment vertical="center"/>
    </xf>
    <xf numFmtId="0" fontId="0" fillId="44" borderId="0" xfId="0" applyFill="1" applyBorder="1" applyAlignment="1">
      <alignment vertical="center"/>
    </xf>
    <xf numFmtId="164" fontId="0" fillId="44" borderId="2" xfId="0" applyNumberFormat="1" applyFill="1" applyBorder="1" applyAlignment="1">
      <alignment vertical="center"/>
    </xf>
    <xf numFmtId="166" fontId="1" fillId="44" borderId="26" xfId="2" applyNumberFormat="1" applyFont="1" applyFill="1" applyBorder="1" applyAlignment="1">
      <alignment vertical="center"/>
    </xf>
    <xf numFmtId="166" fontId="1" fillId="44" borderId="46" xfId="0" applyNumberFormat="1" applyFont="1" applyFill="1" applyBorder="1" applyAlignment="1">
      <alignment vertical="center"/>
    </xf>
    <xf numFmtId="1" fontId="1" fillId="46" borderId="2" xfId="0" applyNumberFormat="1" applyFont="1" applyFill="1" applyBorder="1" applyAlignment="1">
      <alignment vertical="center"/>
    </xf>
    <xf numFmtId="0" fontId="1" fillId="46" borderId="0" xfId="0" applyFont="1" applyFill="1" applyBorder="1" applyAlignment="1">
      <alignment vertical="center"/>
    </xf>
    <xf numFmtId="167" fontId="1" fillId="46" borderId="1" xfId="0" applyNumberFormat="1" applyFont="1" applyFill="1" applyBorder="1" applyAlignment="1">
      <alignment vertical="center"/>
    </xf>
    <xf numFmtId="0" fontId="1" fillId="46" borderId="1" xfId="0" applyFont="1" applyFill="1" applyBorder="1" applyAlignment="1">
      <alignment vertical="center"/>
    </xf>
    <xf numFmtId="0" fontId="1" fillId="46" borderId="2" xfId="0" applyFont="1" applyFill="1" applyBorder="1" applyAlignment="1">
      <alignment vertical="center"/>
    </xf>
    <xf numFmtId="0" fontId="1" fillId="47" borderId="30" xfId="0" applyFont="1" applyFill="1" applyBorder="1" applyAlignment="1">
      <alignment vertical="center"/>
    </xf>
    <xf numFmtId="164" fontId="1" fillId="47" borderId="31" xfId="0" applyNumberFormat="1" applyFont="1" applyFill="1" applyBorder="1" applyAlignment="1">
      <alignment vertical="center"/>
    </xf>
    <xf numFmtId="0" fontId="1" fillId="47" borderId="46" xfId="0" applyFont="1" applyFill="1" applyBorder="1" applyAlignment="1">
      <alignment horizontal="center" vertical="center"/>
    </xf>
    <xf numFmtId="0" fontId="0" fillId="47" borderId="3" xfId="0" applyFont="1" applyFill="1" applyBorder="1" applyAlignment="1">
      <alignment horizontal="center" vertical="center"/>
    </xf>
    <xf numFmtId="43" fontId="0" fillId="47" borderId="46" xfId="2" applyFont="1" applyFill="1" applyBorder="1" applyAlignment="1">
      <alignment horizontal="center" vertical="center"/>
    </xf>
    <xf numFmtId="0" fontId="0" fillId="47" borderId="46" xfId="0" applyFont="1" applyFill="1" applyBorder="1" applyAlignment="1">
      <alignment horizontal="center" vertical="center"/>
    </xf>
    <xf numFmtId="0" fontId="1" fillId="48" borderId="46" xfId="0" applyFont="1" applyFill="1" applyBorder="1" applyAlignment="1">
      <alignment horizontal="center" vertical="center"/>
    </xf>
    <xf numFmtId="166" fontId="1" fillId="48" borderId="26" xfId="2" applyNumberFormat="1" applyFont="1" applyFill="1" applyBorder="1" applyAlignment="1">
      <alignment vertical="center"/>
    </xf>
    <xf numFmtId="0" fontId="1" fillId="48" borderId="3" xfId="0" applyFont="1" applyFill="1" applyBorder="1" applyAlignment="1">
      <alignment vertical="center"/>
    </xf>
    <xf numFmtId="0" fontId="1" fillId="48" borderId="2" xfId="0" applyFont="1" applyFill="1" applyBorder="1" applyAlignment="1">
      <alignment vertical="center"/>
    </xf>
    <xf numFmtId="1" fontId="1" fillId="48" borderId="0" xfId="0" applyNumberFormat="1" applyFont="1" applyFill="1" applyBorder="1" applyAlignment="1">
      <alignment vertical="center"/>
    </xf>
    <xf numFmtId="0" fontId="1" fillId="48" borderId="0" xfId="0" applyFont="1" applyFill="1" applyBorder="1" applyAlignment="1">
      <alignment vertical="center"/>
    </xf>
    <xf numFmtId="0" fontId="1" fillId="48" borderId="1" xfId="0" applyFont="1" applyFill="1" applyBorder="1" applyAlignment="1">
      <alignment vertical="center"/>
    </xf>
    <xf numFmtId="164" fontId="1" fillId="48" borderId="2" xfId="0" applyNumberFormat="1" applyFont="1" applyFill="1" applyBorder="1" applyAlignment="1">
      <alignment vertical="center"/>
    </xf>
    <xf numFmtId="0" fontId="1" fillId="48" borderId="4" xfId="0" applyFont="1" applyFill="1" applyBorder="1" applyAlignment="1">
      <alignment vertical="center"/>
    </xf>
    <xf numFmtId="166" fontId="1" fillId="48" borderId="3" xfId="0" applyNumberFormat="1" applyFont="1" applyFill="1" applyBorder="1" applyAlignment="1">
      <alignment vertical="center"/>
    </xf>
    <xf numFmtId="166" fontId="1" fillId="48" borderId="26" xfId="0" applyNumberFormat="1" applyFont="1" applyFill="1" applyBorder="1" applyAlignment="1">
      <alignment vertical="center"/>
    </xf>
    <xf numFmtId="0" fontId="1" fillId="48" borderId="46" xfId="0" applyFont="1" applyFill="1" applyBorder="1" applyAlignment="1">
      <alignment vertical="center"/>
    </xf>
    <xf numFmtId="1" fontId="1" fillId="7" borderId="25" xfId="0" applyNumberFormat="1" applyFont="1" applyFill="1" applyBorder="1" applyAlignment="1">
      <alignment vertical="center"/>
    </xf>
    <xf numFmtId="0" fontId="1" fillId="45" borderId="25" xfId="0" applyFont="1" applyFill="1" applyBorder="1" applyAlignment="1">
      <alignment vertical="center"/>
    </xf>
    <xf numFmtId="1" fontId="1" fillId="0" borderId="25" xfId="0" applyNumberFormat="1" applyFont="1" applyFill="1" applyBorder="1" applyAlignment="1">
      <alignment horizontal="left" vertical="center"/>
    </xf>
    <xf numFmtId="0" fontId="0" fillId="0" borderId="25" xfId="0" applyFont="1" applyFill="1" applyBorder="1" applyAlignment="1">
      <alignment horizontal="left" vertical="center" indent="2"/>
    </xf>
    <xf numFmtId="0" fontId="0" fillId="0" borderId="25" xfId="0" applyFill="1" applyBorder="1" applyAlignment="1">
      <alignment horizontal="left" vertical="center" indent="2"/>
    </xf>
    <xf numFmtId="166" fontId="0" fillId="0" borderId="0" xfId="2" applyNumberFormat="1" applyFont="1" applyFill="1" applyBorder="1" applyAlignment="1">
      <alignment horizontal="right" vertical="center"/>
    </xf>
    <xf numFmtId="0" fontId="1" fillId="0" borderId="25" xfId="0" applyFont="1" applyFill="1" applyBorder="1" applyAlignment="1">
      <alignment vertical="center"/>
    </xf>
    <xf numFmtId="0" fontId="0" fillId="0" borderId="25" xfId="0" applyBorder="1" applyAlignment="1">
      <alignment horizontal="left" vertical="center" indent="2"/>
    </xf>
    <xf numFmtId="0" fontId="1" fillId="44" borderId="25" xfId="0" applyFont="1" applyFill="1" applyBorder="1" applyAlignment="1">
      <alignment vertical="center"/>
    </xf>
    <xf numFmtId="0" fontId="1" fillId="46" borderId="25" xfId="0" applyFont="1" applyFill="1" applyBorder="1" applyAlignment="1">
      <alignment horizontal="left" vertical="center"/>
    </xf>
    <xf numFmtId="0" fontId="1" fillId="47" borderId="51" xfId="0" applyFont="1" applyFill="1" applyBorder="1" applyAlignment="1">
      <alignment vertical="center"/>
    </xf>
    <xf numFmtId="0" fontId="1" fillId="48" borderId="25" xfId="0" applyFont="1" applyFill="1" applyBorder="1" applyAlignment="1">
      <alignment vertical="center"/>
    </xf>
    <xf numFmtId="0" fontId="1" fillId="44" borderId="26" xfId="0" applyFont="1" applyFill="1" applyBorder="1" applyAlignment="1">
      <alignment vertical="center"/>
    </xf>
    <xf numFmtId="0" fontId="1" fillId="7" borderId="0" xfId="0" applyFont="1" applyFill="1" applyBorder="1" applyAlignment="1">
      <alignment vertical="center"/>
    </xf>
    <xf numFmtId="1" fontId="1" fillId="49" borderId="25" xfId="0" applyNumberFormat="1" applyFont="1" applyFill="1" applyBorder="1" applyAlignment="1">
      <alignment vertical="center"/>
    </xf>
    <xf numFmtId="0" fontId="0" fillId="49" borderId="2" xfId="0" applyFill="1" applyBorder="1" applyAlignment="1">
      <alignment vertical="center"/>
    </xf>
    <xf numFmtId="0" fontId="0" fillId="49" borderId="1" xfId="0" applyFill="1" applyBorder="1" applyAlignment="1">
      <alignment vertical="center"/>
    </xf>
    <xf numFmtId="0" fontId="0" fillId="49" borderId="0" xfId="0" applyFill="1" applyBorder="1" applyAlignment="1">
      <alignment vertical="center"/>
    </xf>
    <xf numFmtId="164" fontId="0" fillId="49" borderId="2" xfId="0" applyNumberFormat="1" applyFill="1" applyBorder="1" applyAlignment="1">
      <alignment vertical="center"/>
    </xf>
    <xf numFmtId="1" fontId="1" fillId="49" borderId="27" xfId="0" applyNumberFormat="1" applyFont="1" applyFill="1" applyBorder="1" applyAlignment="1">
      <alignment vertical="center"/>
    </xf>
    <xf numFmtId="0" fontId="1" fillId="49" borderId="26" xfId="0" applyFont="1" applyFill="1" applyBorder="1" applyAlignment="1">
      <alignment vertical="center"/>
    </xf>
    <xf numFmtId="166" fontId="1" fillId="49" borderId="3" xfId="0" applyNumberFormat="1" applyFont="1" applyFill="1" applyBorder="1" applyAlignment="1">
      <alignment horizontal="center" vertical="center"/>
    </xf>
    <xf numFmtId="166" fontId="1" fillId="49" borderId="26" xfId="2" applyNumberFormat="1" applyFont="1" applyFill="1" applyBorder="1" applyAlignment="1">
      <alignment vertical="center"/>
    </xf>
    <xf numFmtId="166" fontId="1" fillId="49" borderId="46" xfId="0" applyNumberFormat="1" applyFont="1" applyFill="1" applyBorder="1" applyAlignment="1">
      <alignment horizontal="center" vertical="center"/>
    </xf>
    <xf numFmtId="166" fontId="1" fillId="49" borderId="3" xfId="0" applyNumberFormat="1" applyFont="1" applyFill="1" applyBorder="1" applyAlignment="1">
      <alignment vertical="center"/>
    </xf>
    <xf numFmtId="166" fontId="1" fillId="49" borderId="46" xfId="0" applyNumberFormat="1" applyFont="1" applyFill="1" applyBorder="1" applyAlignment="1">
      <alignment vertical="center"/>
    </xf>
    <xf numFmtId="166" fontId="1" fillId="49" borderId="26" xfId="0" applyNumberFormat="1" applyFont="1" applyFill="1" applyBorder="1" applyAlignment="1">
      <alignment vertical="center"/>
    </xf>
    <xf numFmtId="0" fontId="1" fillId="7" borderId="2" xfId="0" applyFont="1" applyFill="1" applyBorder="1" applyAlignment="1">
      <alignment vertical="center"/>
    </xf>
    <xf numFmtId="0" fontId="1" fillId="7" borderId="33" xfId="0" applyFont="1" applyFill="1" applyBorder="1" applyAlignment="1">
      <alignment horizontal="center" vertical="center"/>
    </xf>
    <xf numFmtId="1" fontId="1" fillId="7" borderId="32" xfId="0" applyNumberFormat="1" applyFont="1" applyFill="1" applyBorder="1" applyAlignment="1">
      <alignment vertical="center"/>
    </xf>
    <xf numFmtId="1" fontId="0" fillId="0" borderId="25" xfId="0" applyNumberFormat="1" applyBorder="1" applyAlignment="1">
      <alignment horizontal="left" vertical="center" indent="2"/>
    </xf>
    <xf numFmtId="1" fontId="0" fillId="0" borderId="25" xfId="0" applyNumberFormat="1" applyFill="1" applyBorder="1" applyAlignment="1">
      <alignment horizontal="left" vertical="center" indent="2"/>
    </xf>
    <xf numFmtId="1" fontId="0" fillId="0" borderId="25" xfId="0" applyNumberFormat="1" applyFont="1" applyFill="1" applyBorder="1" applyAlignment="1">
      <alignment horizontal="left" vertical="center" indent="2"/>
    </xf>
    <xf numFmtId="0" fontId="0" fillId="0" borderId="2" xfId="0" applyFont="1" applyFill="1" applyBorder="1" applyAlignment="1">
      <alignment vertical="center"/>
    </xf>
    <xf numFmtId="166" fontId="0" fillId="0" borderId="0" xfId="0" applyNumberFormat="1" applyFont="1" applyFill="1" applyBorder="1" applyAlignment="1">
      <alignment vertical="center"/>
    </xf>
    <xf numFmtId="166" fontId="0" fillId="0" borderId="50" xfId="2" applyNumberFormat="1" applyFont="1" applyBorder="1" applyAlignment="1">
      <alignment horizontal="center" vertical="center"/>
    </xf>
    <xf numFmtId="1" fontId="1" fillId="7" borderId="51" xfId="0" applyNumberFormat="1" applyFont="1" applyFill="1" applyBorder="1" applyAlignment="1">
      <alignment vertical="center"/>
    </xf>
    <xf numFmtId="164" fontId="0" fillId="45" borderId="54" xfId="0" applyNumberFormat="1" applyFill="1" applyBorder="1" applyAlignment="1">
      <alignment vertical="center"/>
    </xf>
    <xf numFmtId="166" fontId="0" fillId="0" borderId="1" xfId="2" applyNumberFormat="1" applyFont="1" applyBorder="1" applyAlignment="1">
      <alignment vertical="center"/>
    </xf>
    <xf numFmtId="166" fontId="0" fillId="0" borderId="18" xfId="2" applyNumberFormat="1" applyFont="1" applyBorder="1" applyAlignment="1">
      <alignment vertical="center"/>
    </xf>
    <xf numFmtId="166" fontId="0" fillId="0" borderId="1" xfId="2" applyNumberFormat="1" applyFont="1" applyFill="1" applyBorder="1" applyAlignment="1">
      <alignment vertical="center"/>
    </xf>
    <xf numFmtId="166" fontId="0" fillId="0" borderId="0" xfId="2" applyNumberFormat="1" applyFont="1" applyFill="1" applyBorder="1" applyAlignment="1">
      <alignment vertical="center"/>
    </xf>
    <xf numFmtId="166" fontId="0" fillId="0" borderId="2" xfId="2" applyNumberFormat="1" applyFont="1" applyFill="1" applyBorder="1" applyAlignment="1">
      <alignment vertical="center"/>
    </xf>
    <xf numFmtId="166" fontId="0" fillId="0" borderId="1" xfId="2" applyNumberFormat="1" applyFont="1" applyBorder="1" applyAlignment="1">
      <alignment horizontal="center" vertical="center"/>
    </xf>
    <xf numFmtId="0" fontId="1" fillId="47" borderId="33" xfId="0" applyFont="1" applyFill="1" applyBorder="1" applyAlignment="1">
      <alignment vertical="center"/>
    </xf>
    <xf numFmtId="0" fontId="1" fillId="47" borderId="31" xfId="0" applyFont="1" applyFill="1" applyBorder="1" applyAlignment="1">
      <alignment vertical="center"/>
    </xf>
    <xf numFmtId="1" fontId="1" fillId="7" borderId="0" xfId="0" applyNumberFormat="1" applyFont="1" applyFill="1" applyBorder="1" applyAlignment="1">
      <alignment vertical="center"/>
    </xf>
    <xf numFmtId="1" fontId="1" fillId="7" borderId="2" xfId="0" applyNumberFormat="1" applyFont="1" applyFill="1" applyBorder="1" applyAlignment="1">
      <alignment vertical="center"/>
    </xf>
    <xf numFmtId="0" fontId="0" fillId="45" borderId="2" xfId="0" applyFill="1" applyBorder="1" applyAlignment="1">
      <alignment vertical="center"/>
    </xf>
    <xf numFmtId="0" fontId="0" fillId="44" borderId="2" xfId="0" applyFill="1" applyBorder="1" applyAlignment="1">
      <alignment vertical="center"/>
    </xf>
    <xf numFmtId="166" fontId="1" fillId="46" borderId="1" xfId="2" applyNumberFormat="1" applyFont="1" applyFill="1" applyBorder="1" applyAlignment="1">
      <alignment vertical="center"/>
    </xf>
    <xf numFmtId="166" fontId="1" fillId="46" borderId="0" xfId="2" applyNumberFormat="1" applyFont="1" applyFill="1" applyBorder="1" applyAlignment="1">
      <alignment vertical="center"/>
    </xf>
    <xf numFmtId="166" fontId="1" fillId="46" borderId="2" xfId="2" applyNumberFormat="1" applyFont="1" applyFill="1" applyBorder="1" applyAlignment="1">
      <alignment vertical="center"/>
    </xf>
    <xf numFmtId="166" fontId="1" fillId="7" borderId="31" xfId="2" applyNumberFormat="1" applyFont="1" applyFill="1" applyBorder="1" applyAlignment="1">
      <alignment vertical="center"/>
    </xf>
    <xf numFmtId="0" fontId="1" fillId="48" borderId="24" xfId="0" applyFont="1" applyFill="1" applyBorder="1" applyAlignment="1">
      <alignment vertical="center"/>
    </xf>
    <xf numFmtId="1" fontId="1" fillId="7" borderId="27" xfId="0" applyNumberFormat="1" applyFont="1" applyFill="1" applyBorder="1" applyAlignment="1">
      <alignment vertical="center"/>
    </xf>
    <xf numFmtId="166" fontId="1" fillId="7" borderId="3" xfId="2" applyNumberFormat="1" applyFont="1" applyFill="1" applyBorder="1" applyAlignment="1">
      <alignment vertical="center"/>
    </xf>
    <xf numFmtId="166" fontId="0" fillId="0" borderId="2" xfId="0" applyNumberFormat="1" applyFont="1" applyFill="1" applyBorder="1" applyAlignment="1">
      <alignment vertical="center"/>
    </xf>
    <xf numFmtId="0" fontId="1" fillId="45" borderId="27" xfId="0" applyFont="1" applyFill="1" applyBorder="1" applyAlignment="1">
      <alignment vertical="center"/>
    </xf>
    <xf numFmtId="166" fontId="1" fillId="45" borderId="3" xfId="2" applyNumberFormat="1" applyFont="1" applyFill="1" applyBorder="1" applyAlignment="1">
      <alignment vertical="center"/>
    </xf>
    <xf numFmtId="0" fontId="1" fillId="44" borderId="27" xfId="0" applyFont="1" applyFill="1" applyBorder="1" applyAlignment="1">
      <alignment vertical="center"/>
    </xf>
    <xf numFmtId="166" fontId="1" fillId="44" borderId="46" xfId="2" applyNumberFormat="1" applyFont="1" applyFill="1" applyBorder="1" applyAlignment="1">
      <alignment vertical="center"/>
    </xf>
    <xf numFmtId="166" fontId="1" fillId="44" borderId="3" xfId="2" applyNumberFormat="1" applyFont="1" applyFill="1" applyBorder="1" applyAlignment="1">
      <alignment vertical="center"/>
    </xf>
    <xf numFmtId="0" fontId="0" fillId="0" borderId="32" xfId="0" applyBorder="1" applyAlignment="1">
      <alignment horizontal="left" vertical="top" wrapText="1"/>
    </xf>
    <xf numFmtId="167" fontId="1" fillId="0" borderId="0" xfId="2" applyNumberFormat="1" applyFont="1"/>
    <xf numFmtId="166" fontId="1" fillId="7" borderId="33" xfId="2" applyNumberFormat="1" applyFont="1" applyFill="1" applyBorder="1" applyAlignment="1">
      <alignment horizontal="left" indent="1"/>
    </xf>
    <xf numFmtId="166" fontId="0" fillId="45" borderId="29" xfId="2" applyNumberFormat="1" applyFont="1" applyFill="1" applyBorder="1"/>
    <xf numFmtId="166" fontId="0" fillId="0" borderId="19" xfId="2" applyNumberFormat="1" applyFont="1" applyBorder="1"/>
    <xf numFmtId="166" fontId="0" fillId="45" borderId="22" xfId="2" applyNumberFormat="1" applyFont="1" applyFill="1" applyBorder="1"/>
    <xf numFmtId="166" fontId="1" fillId="44" borderId="29" xfId="2" applyNumberFormat="1" applyFont="1" applyFill="1" applyBorder="1"/>
    <xf numFmtId="166" fontId="1" fillId="44" borderId="27" xfId="2" applyNumberFormat="1" applyFont="1" applyFill="1" applyBorder="1"/>
    <xf numFmtId="166" fontId="1" fillId="46" borderId="5" xfId="2" applyNumberFormat="1" applyFont="1" applyFill="1" applyBorder="1"/>
    <xf numFmtId="166" fontId="0" fillId="9" borderId="0" xfId="2" applyNumberFormat="1" applyFont="1" applyFill="1"/>
    <xf numFmtId="166" fontId="1" fillId="46" borderId="3" xfId="2" applyNumberFormat="1" applyFont="1" applyFill="1" applyBorder="1"/>
    <xf numFmtId="166" fontId="1" fillId="47" borderId="7" xfId="2" applyNumberFormat="1" applyFont="1" applyFill="1" applyBorder="1" applyAlignment="1">
      <alignment vertical="center"/>
    </xf>
    <xf numFmtId="166" fontId="0" fillId="0" borderId="0" xfId="2" applyNumberFormat="1" applyFont="1" applyAlignment="1">
      <alignment vertical="center"/>
    </xf>
    <xf numFmtId="43" fontId="1" fillId="47" borderId="3" xfId="2" applyFont="1" applyFill="1" applyBorder="1" applyAlignment="1">
      <alignment vertical="center"/>
    </xf>
    <xf numFmtId="43" fontId="3" fillId="0" borderId="0" xfId="2" applyFont="1" applyBorder="1"/>
    <xf numFmtId="166" fontId="1" fillId="7" borderId="52" xfId="2" applyNumberFormat="1" applyFont="1" applyFill="1" applyBorder="1" applyAlignment="1">
      <alignment horizontal="left" indent="1"/>
    </xf>
    <xf numFmtId="166" fontId="0" fillId="45" borderId="54" xfId="2" applyNumberFormat="1" applyFont="1" applyFill="1" applyBorder="1"/>
    <xf numFmtId="166" fontId="0" fillId="0" borderId="49" xfId="2" applyNumberFormat="1" applyFont="1" applyBorder="1"/>
    <xf numFmtId="166" fontId="1" fillId="45" borderId="48" xfId="2" applyNumberFormat="1" applyFont="1" applyFill="1" applyBorder="1"/>
    <xf numFmtId="166" fontId="1" fillId="44" borderId="54" xfId="2" applyNumberFormat="1" applyFont="1" applyFill="1" applyBorder="1"/>
    <xf numFmtId="43" fontId="0" fillId="0" borderId="0" xfId="2" applyFont="1"/>
    <xf numFmtId="166" fontId="1" fillId="46" borderId="54" xfId="2" applyNumberFormat="1" applyFont="1" applyFill="1" applyBorder="1"/>
    <xf numFmtId="166" fontId="1" fillId="47" borderId="9" xfId="2" applyNumberFormat="1" applyFont="1" applyFill="1" applyBorder="1" applyAlignment="1">
      <alignment vertical="center"/>
    </xf>
    <xf numFmtId="166" fontId="0" fillId="0" borderId="48" xfId="2" applyNumberFormat="1" applyFont="1" applyBorder="1" applyAlignment="1">
      <alignment vertical="center"/>
    </xf>
    <xf numFmtId="10" fontId="3" fillId="0" borderId="0" xfId="2" applyNumberFormat="1" applyFont="1" applyFill="1" applyBorder="1"/>
    <xf numFmtId="166" fontId="0" fillId="0" borderId="2" xfId="2" applyNumberFormat="1" applyFont="1" applyBorder="1"/>
    <xf numFmtId="166" fontId="0" fillId="0" borderId="2" xfId="2" applyNumberFormat="1" applyFont="1" applyFill="1" applyBorder="1"/>
    <xf numFmtId="166" fontId="1" fillId="7" borderId="31" xfId="2" applyNumberFormat="1" applyFont="1" applyFill="1" applyBorder="1" applyAlignment="1">
      <alignment horizontal="left" indent="1"/>
    </xf>
    <xf numFmtId="166" fontId="0" fillId="45" borderId="31" xfId="2" applyNumberFormat="1" applyFont="1" applyFill="1" applyBorder="1"/>
    <xf numFmtId="166" fontId="0" fillId="0" borderId="23" xfId="2" applyNumberFormat="1" applyFont="1" applyBorder="1"/>
    <xf numFmtId="43" fontId="1" fillId="46" borderId="21" xfId="2" applyFont="1" applyFill="1" applyBorder="1"/>
    <xf numFmtId="43" fontId="1" fillId="47" borderId="21" xfId="2" applyFont="1" applyFill="1" applyBorder="1" applyAlignment="1">
      <alignment vertical="center"/>
    </xf>
    <xf numFmtId="166" fontId="0" fillId="0" borderId="23" xfId="2" applyNumberFormat="1" applyFont="1" applyBorder="1" applyAlignment="1">
      <alignment vertical="center"/>
    </xf>
    <xf numFmtId="166" fontId="0" fillId="45" borderId="30" xfId="2" applyNumberFormat="1" applyFont="1" applyFill="1" applyBorder="1"/>
    <xf numFmtId="166" fontId="0" fillId="45" borderId="46" xfId="2" applyNumberFormat="1" applyFont="1" applyFill="1" applyBorder="1"/>
    <xf numFmtId="43" fontId="1" fillId="46" borderId="20" xfId="2" applyFont="1" applyFill="1" applyBorder="1"/>
    <xf numFmtId="167" fontId="0" fillId="0" borderId="0" xfId="2" applyNumberFormat="1" applyFont="1" applyFill="1" applyBorder="1" applyAlignment="1">
      <alignment horizontal="center"/>
    </xf>
    <xf numFmtId="167" fontId="1" fillId="46" borderId="3" xfId="2" applyNumberFormat="1" applyFont="1" applyFill="1" applyBorder="1"/>
    <xf numFmtId="1" fontId="53" fillId="0" borderId="7" xfId="2" applyNumberFormat="1" applyFont="1" applyBorder="1" applyAlignment="1">
      <alignment horizontal="center"/>
    </xf>
    <xf numFmtId="1" fontId="53" fillId="0" borderId="9" xfId="2" applyNumberFormat="1" applyFont="1" applyBorder="1" applyAlignment="1">
      <alignment horizontal="center"/>
    </xf>
    <xf numFmtId="1" fontId="53" fillId="0" borderId="8" xfId="2" applyNumberFormat="1" applyFont="1" applyBorder="1" applyAlignment="1">
      <alignment horizontal="center"/>
    </xf>
    <xf numFmtId="1" fontId="53" fillId="0" borderId="6" xfId="2" applyNumberFormat="1" applyFont="1" applyBorder="1" applyAlignment="1">
      <alignment horizontal="center"/>
    </xf>
    <xf numFmtId="1" fontId="53" fillId="0" borderId="30" xfId="2" applyNumberFormat="1" applyFont="1" applyBorder="1" applyAlignment="1">
      <alignment horizontal="center"/>
    </xf>
    <xf numFmtId="1" fontId="53" fillId="0" borderId="31" xfId="2" applyNumberFormat="1" applyFont="1" applyBorder="1" applyAlignment="1">
      <alignment horizontal="center"/>
    </xf>
    <xf numFmtId="0" fontId="0" fillId="0" borderId="32" xfId="0" applyBorder="1" applyAlignment="1">
      <alignment horizontal="left" vertical="center" wrapText="1"/>
    </xf>
    <xf numFmtId="1" fontId="53" fillId="0" borderId="6" xfId="0" applyNumberFormat="1" applyFont="1" applyBorder="1" applyAlignment="1">
      <alignment horizontal="center" vertical="center"/>
    </xf>
    <xf numFmtId="1" fontId="53" fillId="0" borderId="9" xfId="0" applyNumberFormat="1" applyFont="1" applyBorder="1" applyAlignment="1">
      <alignment horizontal="center" vertical="center"/>
    </xf>
    <xf numFmtId="1" fontId="57" fillId="0" borderId="56" xfId="0" applyNumberFormat="1" applyFont="1" applyFill="1" applyBorder="1" applyAlignment="1">
      <alignment horizontal="left" vertical="center"/>
    </xf>
    <xf numFmtId="1" fontId="57" fillId="0" borderId="14" xfId="0" applyNumberFormat="1" applyFont="1" applyFill="1" applyBorder="1" applyAlignment="1">
      <alignment horizontal="left" vertical="center"/>
    </xf>
    <xf numFmtId="1" fontId="53" fillId="0" borderId="8" xfId="0" applyNumberFormat="1" applyFont="1" applyBorder="1" applyAlignment="1">
      <alignment horizontal="center" vertical="center"/>
    </xf>
    <xf numFmtId="1" fontId="53" fillId="0" borderId="24" xfId="0" applyNumberFormat="1" applyFont="1" applyBorder="1" applyAlignment="1">
      <alignment horizontal="center" vertical="center"/>
    </xf>
    <xf numFmtId="1" fontId="53" fillId="0" borderId="7" xfId="0" applyNumberFormat="1" applyFont="1" applyBorder="1" applyAlignment="1">
      <alignment horizontal="center" vertical="center"/>
    </xf>
    <xf numFmtId="1" fontId="0" fillId="0" borderId="6" xfId="0" applyNumberFormat="1" applyBorder="1" applyAlignment="1">
      <alignment horizontal="center"/>
    </xf>
    <xf numFmtId="1" fontId="0" fillId="0" borderId="7" xfId="0" applyNumberFormat="1" applyBorder="1" applyAlignment="1">
      <alignment horizontal="center"/>
    </xf>
    <xf numFmtId="1" fontId="0" fillId="0" borderId="8" xfId="0" applyNumberFormat="1" applyBorder="1" applyAlignment="1">
      <alignment horizontal="center"/>
    </xf>
    <xf numFmtId="1" fontId="0" fillId="0" borderId="9" xfId="0" applyNumberFormat="1" applyBorder="1" applyAlignment="1">
      <alignment horizontal="center"/>
    </xf>
    <xf numFmtId="167" fontId="0" fillId="0" borderId="35" xfId="2" applyNumberFormat="1" applyFont="1" applyFill="1" applyBorder="1" applyAlignment="1">
      <alignment horizontal="left" vertical="center"/>
    </xf>
    <xf numFmtId="167" fontId="0" fillId="0" borderId="34" xfId="2" applyNumberFormat="1" applyFont="1" applyFill="1" applyBorder="1" applyAlignment="1">
      <alignment horizontal="left" vertical="center"/>
    </xf>
    <xf numFmtId="167" fontId="0" fillId="0" borderId="47" xfId="2" applyNumberFormat="1" applyFont="1" applyFill="1"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34" xfId="0" applyBorder="1" applyAlignment="1">
      <alignment horizontal="left" vertical="center" wrapText="1"/>
    </xf>
    <xf numFmtId="0" fontId="0" fillId="0" borderId="47" xfId="0" applyBorder="1" applyAlignment="1">
      <alignment horizontal="left" vertical="center" wrapText="1"/>
    </xf>
    <xf numFmtId="0" fontId="0" fillId="0" borderId="2" xfId="0" applyBorder="1" applyAlignment="1">
      <alignment horizontal="left" vertical="center"/>
    </xf>
    <xf numFmtId="0" fontId="0" fillId="0" borderId="47" xfId="0" applyBorder="1" applyAlignment="1">
      <alignment horizontal="left" vertical="center"/>
    </xf>
    <xf numFmtId="0" fontId="0" fillId="0" borderId="2" xfId="0" applyBorder="1" applyAlignment="1">
      <alignment horizontal="left" vertical="center" wrapText="1"/>
    </xf>
    <xf numFmtId="0" fontId="0" fillId="0" borderId="18" xfId="0" applyBorder="1" applyAlignment="1">
      <alignment horizontal="left" vertical="center" wrapText="1"/>
    </xf>
    <xf numFmtId="0" fontId="0" fillId="0" borderId="21" xfId="0" applyBorder="1" applyAlignment="1">
      <alignment horizontal="left" vertical="center" wrapText="1"/>
    </xf>
  </cellXfs>
  <cellStyles count="163">
    <cellStyle name="20% - Accent1" xfId="27" builtinId="30" customBuiltin="1"/>
    <cellStyle name="20% - Accent1 2" xfId="93" xr:uid="{00000000-0005-0000-0000-000001000000}"/>
    <cellStyle name="20% - Accent2" xfId="31" builtinId="34" customBuiltin="1"/>
    <cellStyle name="20% - Accent2 2" xfId="97" xr:uid="{00000000-0005-0000-0000-000003000000}"/>
    <cellStyle name="20% - Accent3" xfId="35" builtinId="38" customBuiltin="1"/>
    <cellStyle name="20% - Accent3 2" xfId="101" xr:uid="{00000000-0005-0000-0000-000005000000}"/>
    <cellStyle name="20% - Accent4" xfId="39" builtinId="42" customBuiltin="1"/>
    <cellStyle name="20% - Accent4 2" xfId="105" xr:uid="{00000000-0005-0000-0000-000007000000}"/>
    <cellStyle name="20% - Accent5" xfId="43" builtinId="46" customBuiltin="1"/>
    <cellStyle name="20% - Accent5 2" xfId="109" xr:uid="{00000000-0005-0000-0000-000009000000}"/>
    <cellStyle name="20% - Accent6" xfId="47" builtinId="50" customBuiltin="1"/>
    <cellStyle name="20% - Accent6 2" xfId="113" xr:uid="{00000000-0005-0000-0000-00000B000000}"/>
    <cellStyle name="40% - Accent1" xfId="28" builtinId="31" customBuiltin="1"/>
    <cellStyle name="40% - Accent1 2" xfId="94" xr:uid="{00000000-0005-0000-0000-00000D000000}"/>
    <cellStyle name="40% - Accent2" xfId="32" builtinId="35" customBuiltin="1"/>
    <cellStyle name="40% - Accent2 2" xfId="98" xr:uid="{00000000-0005-0000-0000-00000F000000}"/>
    <cellStyle name="40% - Accent3" xfId="36" builtinId="39" customBuiltin="1"/>
    <cellStyle name="40% - Accent3 2" xfId="102" xr:uid="{00000000-0005-0000-0000-000011000000}"/>
    <cellStyle name="40% - Accent4" xfId="40" builtinId="43" customBuiltin="1"/>
    <cellStyle name="40% - Accent4 2" xfId="106" xr:uid="{00000000-0005-0000-0000-000013000000}"/>
    <cellStyle name="40% - Accent5" xfId="44" builtinId="47" customBuiltin="1"/>
    <cellStyle name="40% - Accent5 2" xfId="110" xr:uid="{00000000-0005-0000-0000-000015000000}"/>
    <cellStyle name="40% - Accent6" xfId="48" builtinId="51" customBuiltin="1"/>
    <cellStyle name="40% - Accent6 2" xfId="114" xr:uid="{00000000-0005-0000-0000-000017000000}"/>
    <cellStyle name="60% - Accent1" xfId="29" builtinId="32" customBuiltin="1"/>
    <cellStyle name="60% - Accent1 2" xfId="95" xr:uid="{00000000-0005-0000-0000-000019000000}"/>
    <cellStyle name="60% - Accent1 2 2" xfId="156" xr:uid="{00000000-0005-0000-0000-00001A000000}"/>
    <cellStyle name="60% - Accent2" xfId="33" builtinId="36" customBuiltin="1"/>
    <cellStyle name="60% - Accent2 2" xfId="99" xr:uid="{00000000-0005-0000-0000-00001C000000}"/>
    <cellStyle name="60% - Accent2 2 2" xfId="157" xr:uid="{00000000-0005-0000-0000-00001D000000}"/>
    <cellStyle name="60% - Accent3" xfId="37" builtinId="40" customBuiltin="1"/>
    <cellStyle name="60% - Accent3 2" xfId="103" xr:uid="{00000000-0005-0000-0000-00001F000000}"/>
    <cellStyle name="60% - Accent3 2 2" xfId="158" xr:uid="{00000000-0005-0000-0000-000020000000}"/>
    <cellStyle name="60% - Accent4" xfId="41" builtinId="44" customBuiltin="1"/>
    <cellStyle name="60% - Accent4 2" xfId="107" xr:uid="{00000000-0005-0000-0000-000022000000}"/>
    <cellStyle name="60% - Accent4 2 2" xfId="159" xr:uid="{00000000-0005-0000-0000-000023000000}"/>
    <cellStyle name="60% - Accent5" xfId="45" builtinId="48" customBuiltin="1"/>
    <cellStyle name="60% - Accent5 2" xfId="111" xr:uid="{00000000-0005-0000-0000-000025000000}"/>
    <cellStyle name="60% - Accent5 2 2" xfId="160" xr:uid="{00000000-0005-0000-0000-000026000000}"/>
    <cellStyle name="60% - Accent6" xfId="49" builtinId="52" customBuiltin="1"/>
    <cellStyle name="60% - Accent6 2" xfId="115" xr:uid="{00000000-0005-0000-0000-000028000000}"/>
    <cellStyle name="60% - Accent6 2 2" xfId="161" xr:uid="{00000000-0005-0000-0000-000029000000}"/>
    <cellStyle name="Accent1" xfId="26" builtinId="29" customBuiltin="1"/>
    <cellStyle name="Accent1 2" xfId="92" xr:uid="{00000000-0005-0000-0000-00002B000000}"/>
    <cellStyle name="Accent2" xfId="30" builtinId="33" customBuiltin="1"/>
    <cellStyle name="Accent2 2" xfId="96" xr:uid="{00000000-0005-0000-0000-00002D000000}"/>
    <cellStyle name="Accent3" xfId="34" builtinId="37" customBuiltin="1"/>
    <cellStyle name="Accent3 2" xfId="100" xr:uid="{00000000-0005-0000-0000-00002F000000}"/>
    <cellStyle name="Accent4" xfId="38" builtinId="41" customBuiltin="1"/>
    <cellStyle name="Accent4 2" xfId="104" xr:uid="{00000000-0005-0000-0000-000031000000}"/>
    <cellStyle name="Accent5" xfId="42" builtinId="45" customBuiltin="1"/>
    <cellStyle name="Accent5 2" xfId="108" xr:uid="{00000000-0005-0000-0000-000033000000}"/>
    <cellStyle name="Accent6" xfId="46" builtinId="49" customBuiltin="1"/>
    <cellStyle name="Accent6 2" xfId="112" xr:uid="{00000000-0005-0000-0000-000035000000}"/>
    <cellStyle name="Bad" xfId="15" builtinId="27" customBuiltin="1"/>
    <cellStyle name="Bad 2" xfId="63" xr:uid="{00000000-0005-0000-0000-000037000000}"/>
    <cellStyle name="Bad 3" xfId="81" xr:uid="{00000000-0005-0000-0000-000038000000}"/>
    <cellStyle name="Calculation" xfId="19" builtinId="22" customBuiltin="1"/>
    <cellStyle name="Calculation 2" xfId="85" xr:uid="{00000000-0005-0000-0000-00003A000000}"/>
    <cellStyle name="Check Cell" xfId="21" builtinId="23" customBuiltin="1"/>
    <cellStyle name="Check Cell 2" xfId="87" xr:uid="{00000000-0005-0000-0000-00003C000000}"/>
    <cellStyle name="Comma" xfId="2" builtinId="3"/>
    <cellStyle name="Comma 2" xfId="6" xr:uid="{00000000-0005-0000-0000-00003E000000}"/>
    <cellStyle name="Comma 2 2" xfId="54" xr:uid="{00000000-0005-0000-0000-00003F000000}"/>
    <cellStyle name="Comma 2 3" xfId="121" xr:uid="{00000000-0005-0000-0000-000040000000}"/>
    <cellStyle name="Comma 3" xfId="67" xr:uid="{00000000-0005-0000-0000-000041000000}"/>
    <cellStyle name="Comma 4" xfId="74" xr:uid="{00000000-0005-0000-0000-000042000000}"/>
    <cellStyle name="Comma 5" xfId="118" xr:uid="{00000000-0005-0000-0000-000043000000}"/>
    <cellStyle name="Comma 6" xfId="132" xr:uid="{00000000-0005-0000-0000-000044000000}"/>
    <cellStyle name="Comma[0]" xfId="133" xr:uid="{00000000-0005-0000-0000-000045000000}"/>
    <cellStyle name="Currency 2" xfId="53" xr:uid="{00000000-0005-0000-0000-000046000000}"/>
    <cellStyle name="Currency 3" xfId="56" xr:uid="{00000000-0005-0000-0000-000047000000}"/>
    <cellStyle name="Currency 4" xfId="55" xr:uid="{00000000-0005-0000-0000-000048000000}"/>
    <cellStyle name="Currency 5" xfId="68" xr:uid="{00000000-0005-0000-0000-000049000000}"/>
    <cellStyle name="Currency 6" xfId="117" xr:uid="{00000000-0005-0000-0000-00004A000000}"/>
    <cellStyle name="Currency 7" xfId="131" xr:uid="{00000000-0005-0000-0000-00004B000000}"/>
    <cellStyle name="Currency[0]" xfId="130" xr:uid="{00000000-0005-0000-0000-00004C000000}"/>
    <cellStyle name="Explanatory Text" xfId="24" builtinId="53" customBuiltin="1"/>
    <cellStyle name="Explanatory Text 2" xfId="90" xr:uid="{00000000-0005-0000-0000-00004E000000}"/>
    <cellStyle name="Explanatory Text 2 2" xfId="154" xr:uid="{00000000-0005-0000-0000-00004F000000}"/>
    <cellStyle name="Good" xfId="14" builtinId="26" customBuiltin="1"/>
    <cellStyle name="Good 2" xfId="80" xr:uid="{00000000-0005-0000-0000-000051000000}"/>
    <cellStyle name="Heading 1" xfId="10" builtinId="16" customBuiltin="1"/>
    <cellStyle name="Heading 1 2" xfId="76" xr:uid="{00000000-0005-0000-0000-000053000000}"/>
    <cellStyle name="Heading 1 2 2" xfId="147" xr:uid="{00000000-0005-0000-0000-000054000000}"/>
    <cellStyle name="Heading 2" xfId="11" builtinId="17" customBuiltin="1"/>
    <cellStyle name="Heading 2 2" xfId="77" xr:uid="{00000000-0005-0000-0000-000056000000}"/>
    <cellStyle name="Heading 2 2 2" xfId="148" xr:uid="{00000000-0005-0000-0000-000057000000}"/>
    <cellStyle name="Heading 3" xfId="12" builtinId="18" customBuiltin="1"/>
    <cellStyle name="Heading 3 2" xfId="78" xr:uid="{00000000-0005-0000-0000-000059000000}"/>
    <cellStyle name="Heading 3 2 2" xfId="149" xr:uid="{00000000-0005-0000-0000-00005A000000}"/>
    <cellStyle name="Heading 4" xfId="13" builtinId="19" customBuiltin="1"/>
    <cellStyle name="Heading 4 2" xfId="79" xr:uid="{00000000-0005-0000-0000-00005C000000}"/>
    <cellStyle name="Heading 4 2 2" xfId="150" xr:uid="{00000000-0005-0000-0000-00005D000000}"/>
    <cellStyle name="Hyperlink 2" xfId="123" xr:uid="{00000000-0005-0000-0000-00005E000000}"/>
    <cellStyle name="Hyperlink 3" xfId="140" xr:uid="{00000000-0005-0000-0000-00005F000000}"/>
    <cellStyle name="Input" xfId="17" builtinId="20" customBuiltin="1"/>
    <cellStyle name="Input 2" xfId="83" xr:uid="{00000000-0005-0000-0000-000061000000}"/>
    <cellStyle name="Linked Cell" xfId="20" builtinId="24" customBuiltin="1"/>
    <cellStyle name="Linked Cell 2" xfId="86" xr:uid="{00000000-0005-0000-0000-000063000000}"/>
    <cellStyle name="Linked Cell 2 2" xfId="152" xr:uid="{00000000-0005-0000-0000-000064000000}"/>
    <cellStyle name="Neutral" xfId="16" builtinId="28" customBuiltin="1"/>
    <cellStyle name="Neutral 2" xfId="82" xr:uid="{00000000-0005-0000-0000-000066000000}"/>
    <cellStyle name="Neutral 2 2" xfId="151" xr:uid="{00000000-0005-0000-0000-000067000000}"/>
    <cellStyle name="Normal" xfId="0" builtinId="0"/>
    <cellStyle name="Normal 10" xfId="75" xr:uid="{00000000-0005-0000-0000-000069000000}"/>
    <cellStyle name="Normal 11" xfId="116" xr:uid="{00000000-0005-0000-0000-00006A000000}"/>
    <cellStyle name="Normal 11 2" xfId="136" xr:uid="{00000000-0005-0000-0000-00006B000000}"/>
    <cellStyle name="Normal 11 2 2" xfId="142" xr:uid="{00000000-0005-0000-0000-00006C000000}"/>
    <cellStyle name="Normal 11 3" xfId="138" xr:uid="{00000000-0005-0000-0000-00006D000000}"/>
    <cellStyle name="Normal 11 4" xfId="141" xr:uid="{00000000-0005-0000-0000-00006E000000}"/>
    <cellStyle name="Normal 12" xfId="134" xr:uid="{00000000-0005-0000-0000-00006F000000}"/>
    <cellStyle name="Normal 13" xfId="135" xr:uid="{00000000-0005-0000-0000-000070000000}"/>
    <cellStyle name="Normal 14" xfId="139" xr:uid="{00000000-0005-0000-0000-000071000000}"/>
    <cellStyle name="Normal 14 2" xfId="143" xr:uid="{00000000-0005-0000-0000-000072000000}"/>
    <cellStyle name="Normal 2" xfId="3" xr:uid="{00000000-0005-0000-0000-000073000000}"/>
    <cellStyle name="Normal 2 2" xfId="71" xr:uid="{00000000-0005-0000-0000-000074000000}"/>
    <cellStyle name="Normal 2 2 2" xfId="50" xr:uid="{00000000-0005-0000-0000-000075000000}"/>
    <cellStyle name="Normal 2 2 3" xfId="120" xr:uid="{00000000-0005-0000-0000-000076000000}"/>
    <cellStyle name="Normal 2 3" xfId="70" xr:uid="{00000000-0005-0000-0000-000077000000}"/>
    <cellStyle name="Normal 2 4" xfId="72" xr:uid="{00000000-0005-0000-0000-000078000000}"/>
    <cellStyle name="Normal 2 4 2" xfId="125" xr:uid="{00000000-0005-0000-0000-000079000000}"/>
    <cellStyle name="Normal 2 5" xfId="137" xr:uid="{00000000-0005-0000-0000-00007A000000}"/>
    <cellStyle name="Normal 2 6" xfId="144" xr:uid="{00000000-0005-0000-0000-00007B000000}"/>
    <cellStyle name="Normal 29" xfId="62" xr:uid="{00000000-0005-0000-0000-00007C000000}"/>
    <cellStyle name="Normal 3" xfId="4" xr:uid="{00000000-0005-0000-0000-00007D000000}"/>
    <cellStyle name="Normal 3 2" xfId="8" xr:uid="{00000000-0005-0000-0000-00007E000000}"/>
    <cellStyle name="Normal 3 2 2" xfId="127" xr:uid="{00000000-0005-0000-0000-00007F000000}"/>
    <cellStyle name="Normal 3 3" xfId="57" xr:uid="{00000000-0005-0000-0000-000080000000}"/>
    <cellStyle name="Normal 31" xfId="58" xr:uid="{00000000-0005-0000-0000-000081000000}"/>
    <cellStyle name="Normal 34" xfId="59" xr:uid="{00000000-0005-0000-0000-000082000000}"/>
    <cellStyle name="Normal 36" xfId="60" xr:uid="{00000000-0005-0000-0000-000083000000}"/>
    <cellStyle name="Normal 4" xfId="5" xr:uid="{00000000-0005-0000-0000-000084000000}"/>
    <cellStyle name="Normal 4 2" xfId="52" xr:uid="{00000000-0005-0000-0000-000085000000}"/>
    <cellStyle name="Normal 4 2 2" xfId="126" xr:uid="{00000000-0005-0000-0000-000086000000}"/>
    <cellStyle name="Normal 4 3" xfId="124" xr:uid="{00000000-0005-0000-0000-000087000000}"/>
    <cellStyle name="Normal 5" xfId="51" xr:uid="{00000000-0005-0000-0000-000088000000}"/>
    <cellStyle name="Normal 5 2" xfId="128" xr:uid="{00000000-0005-0000-0000-000089000000}"/>
    <cellStyle name="Normal 6" xfId="61" xr:uid="{00000000-0005-0000-0000-00008A000000}"/>
    <cellStyle name="Normal 7" xfId="65" xr:uid="{00000000-0005-0000-0000-00008B000000}"/>
    <cellStyle name="Normal 8" xfId="73" xr:uid="{00000000-0005-0000-0000-00008C000000}"/>
    <cellStyle name="Normal 9" xfId="66" xr:uid="{00000000-0005-0000-0000-00008D000000}"/>
    <cellStyle name="Note" xfId="23" builtinId="10" customBuiltin="1"/>
    <cellStyle name="Note 2" xfId="89" xr:uid="{00000000-0005-0000-0000-00008F000000}"/>
    <cellStyle name="Output" xfId="18" builtinId="21" customBuiltin="1"/>
    <cellStyle name="Output 2" xfId="84" xr:uid="{00000000-0005-0000-0000-000091000000}"/>
    <cellStyle name="Percent" xfId="1" builtinId="5"/>
    <cellStyle name="Percent 2" xfId="7" xr:uid="{00000000-0005-0000-0000-000093000000}"/>
    <cellStyle name="Percent 2 2" xfId="122" xr:uid="{00000000-0005-0000-0000-000094000000}"/>
    <cellStyle name="Percent 2 3" xfId="145" xr:uid="{00000000-0005-0000-0000-000095000000}"/>
    <cellStyle name="Percent 2 4" xfId="162" xr:uid="{00000000-0005-0000-0000-000096000000}"/>
    <cellStyle name="Percent 3" xfId="119" xr:uid="{00000000-0005-0000-0000-000097000000}"/>
    <cellStyle name="Percent 4" xfId="129" xr:uid="{00000000-0005-0000-0000-000098000000}"/>
    <cellStyle name="Style 2" xfId="64" xr:uid="{00000000-0005-0000-0000-000099000000}"/>
    <cellStyle name="Title" xfId="9" builtinId="15" customBuiltin="1"/>
    <cellStyle name="Title 2" xfId="69" xr:uid="{00000000-0005-0000-0000-00009B000000}"/>
    <cellStyle name="Title 2 2" xfId="146" xr:uid="{00000000-0005-0000-0000-00009C000000}"/>
    <cellStyle name="Total" xfId="25" builtinId="25" customBuiltin="1"/>
    <cellStyle name="Total 2" xfId="91" xr:uid="{00000000-0005-0000-0000-00009E000000}"/>
    <cellStyle name="Total 2 2" xfId="155" xr:uid="{00000000-0005-0000-0000-00009F000000}"/>
    <cellStyle name="Warning Text" xfId="22" builtinId="11" customBuiltin="1"/>
    <cellStyle name="Warning Text 2" xfId="88" xr:uid="{00000000-0005-0000-0000-0000A1000000}"/>
    <cellStyle name="Warning Text 2 2" xfId="153" xr:uid="{00000000-0005-0000-0000-0000A2000000}"/>
  </cellStyles>
  <dxfs count="0"/>
  <tableStyles count="0" defaultTableStyle="TableStyleMedium2" defaultPivotStyle="PivotStyleLight16"/>
  <colors>
    <mruColors>
      <color rgb="FFDDC4FC"/>
      <color rgb="FFDF9595"/>
      <color rgb="FFE5A9A9"/>
      <color rgb="FFEADBFD"/>
      <color rgb="FFDEACC1"/>
      <color rgb="FFD18BA9"/>
      <color rgb="FFE993B2"/>
      <color rgb="FFE9A5BD"/>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0"/>
    <c:plotArea>
      <c:layout/>
      <c:barChart>
        <c:barDir val="col"/>
        <c:grouping val="clustered"/>
        <c:varyColors val="0"/>
        <c:ser>
          <c:idx val="0"/>
          <c:order val="0"/>
          <c:tx>
            <c:strRef>
              <c:f>'Clean Energy'!$A$2</c:f>
              <c:strCache>
                <c:ptCount val="1"/>
                <c:pt idx="0">
                  <c:v>2006</c:v>
                </c:pt>
              </c:strCache>
            </c:strRef>
          </c:tx>
          <c:invertIfNegative val="0"/>
          <c:cat>
            <c:strRef>
              <c:f>'Clean Energy'!$B$1</c:f>
              <c:strCache>
                <c:ptCount val="1"/>
                <c:pt idx="0">
                  <c:v>Total Emissions</c:v>
                </c:pt>
              </c:strCache>
            </c:strRef>
          </c:cat>
          <c:val>
            <c:numRef>
              <c:f>'Clean Energy'!$B$2</c:f>
              <c:numCache>
                <c:formatCode>#,##0</c:formatCode>
                <c:ptCount val="1"/>
                <c:pt idx="0">
                  <c:v>10486684.268300001</c:v>
                </c:pt>
              </c:numCache>
            </c:numRef>
          </c:val>
          <c:extLst>
            <c:ext xmlns:c16="http://schemas.microsoft.com/office/drawing/2014/chart" uri="{C3380CC4-5D6E-409C-BE32-E72D297353CC}">
              <c16:uniqueId val="{00000000-DD0D-41E4-A5E4-A48111E1CEB0}"/>
            </c:ext>
          </c:extLst>
        </c:ser>
        <c:ser>
          <c:idx val="2"/>
          <c:order val="2"/>
          <c:tx>
            <c:strRef>
              <c:f>'Clean Energy'!$A$5</c:f>
              <c:strCache>
                <c:ptCount val="1"/>
                <c:pt idx="0">
                  <c:v>2013</c:v>
                </c:pt>
              </c:strCache>
            </c:strRef>
          </c:tx>
          <c:invertIfNegative val="0"/>
          <c:cat>
            <c:strRef>
              <c:f>'Clean Energy'!$B$1</c:f>
              <c:strCache>
                <c:ptCount val="1"/>
                <c:pt idx="0">
                  <c:v>Total Emissions</c:v>
                </c:pt>
              </c:strCache>
            </c:strRef>
          </c:cat>
          <c:val>
            <c:numRef>
              <c:f>'Clean Energy'!$B$5</c:f>
              <c:numCache>
                <c:formatCode>0</c:formatCode>
                <c:ptCount val="1"/>
                <c:pt idx="0">
                  <c:v>7968707.7306422992</c:v>
                </c:pt>
              </c:numCache>
            </c:numRef>
          </c:val>
          <c:extLst>
            <c:ext xmlns:c16="http://schemas.microsoft.com/office/drawing/2014/chart" uri="{C3380CC4-5D6E-409C-BE32-E72D297353CC}">
              <c16:uniqueId val="{00000001-DD0D-41E4-A5E4-A48111E1CEB0}"/>
            </c:ext>
          </c:extLst>
        </c:ser>
        <c:dLbls>
          <c:showLegendKey val="0"/>
          <c:showVal val="0"/>
          <c:showCatName val="0"/>
          <c:showSerName val="0"/>
          <c:showPercent val="0"/>
          <c:showBubbleSize val="0"/>
        </c:dLbls>
        <c:gapWidth val="150"/>
        <c:axId val="159896320"/>
        <c:axId val="159897856"/>
      </c:barChart>
      <c:barChart>
        <c:barDir val="col"/>
        <c:grouping val="clustered"/>
        <c:varyColors val="0"/>
        <c:ser>
          <c:idx val="1"/>
          <c:order val="1"/>
          <c:tx>
            <c:strRef>
              <c:f>'Clean Energy'!$A$3</c:f>
              <c:strCache>
                <c:ptCount val="1"/>
                <c:pt idx="0">
                  <c:v>Change Due to 
Cleaner Electricity</c:v>
                </c:pt>
              </c:strCache>
            </c:strRef>
          </c:tx>
          <c:invertIfNegative val="0"/>
          <c:cat>
            <c:strRef>
              <c:f>'Clean Energy'!$B$1</c:f>
              <c:strCache>
                <c:ptCount val="1"/>
                <c:pt idx="0">
                  <c:v>Total Emissions</c:v>
                </c:pt>
              </c:strCache>
            </c:strRef>
          </c:cat>
          <c:val>
            <c:numRef>
              <c:f>'Clean Energy'!$C$3</c:f>
              <c:numCache>
                <c:formatCode>#,##0</c:formatCode>
                <c:ptCount val="1"/>
                <c:pt idx="0">
                  <c:v>0</c:v>
                </c:pt>
              </c:numCache>
            </c:numRef>
          </c:val>
          <c:extLst>
            <c:ext xmlns:c16="http://schemas.microsoft.com/office/drawing/2014/chart" uri="{C3380CC4-5D6E-409C-BE32-E72D297353CC}">
              <c16:uniqueId val="{00000002-DD0D-41E4-A5E4-A48111E1CEB0}"/>
            </c:ext>
          </c:extLst>
        </c:ser>
        <c:dLbls>
          <c:showLegendKey val="0"/>
          <c:showVal val="0"/>
          <c:showCatName val="0"/>
          <c:showSerName val="0"/>
          <c:showPercent val="0"/>
          <c:showBubbleSize val="0"/>
        </c:dLbls>
        <c:gapWidth val="150"/>
        <c:axId val="159901184"/>
        <c:axId val="159899648"/>
      </c:barChart>
      <c:dateAx>
        <c:axId val="159896320"/>
        <c:scaling>
          <c:orientation val="minMax"/>
        </c:scaling>
        <c:delete val="0"/>
        <c:axPos val="b"/>
        <c:numFmt formatCode="General" sourceLinked="0"/>
        <c:majorTickMark val="out"/>
        <c:minorTickMark val="none"/>
        <c:tickLblPos val="nextTo"/>
        <c:crossAx val="159897856"/>
        <c:crosses val="autoZero"/>
        <c:auto val="0"/>
        <c:lblOffset val="100"/>
        <c:baseTimeUnit val="days"/>
        <c:majorUnit val="10"/>
      </c:dateAx>
      <c:valAx>
        <c:axId val="159897856"/>
        <c:scaling>
          <c:orientation val="minMax"/>
          <c:max val="10017266"/>
          <c:min val="0"/>
        </c:scaling>
        <c:delete val="0"/>
        <c:axPos val="l"/>
        <c:majorGridlines/>
        <c:numFmt formatCode="#,##0" sourceLinked="1"/>
        <c:majorTickMark val="out"/>
        <c:minorTickMark val="none"/>
        <c:tickLblPos val="nextTo"/>
        <c:crossAx val="159896320"/>
        <c:crossesAt val="1"/>
        <c:crossBetween val="between"/>
      </c:valAx>
      <c:valAx>
        <c:axId val="159899648"/>
        <c:scaling>
          <c:orientation val="minMax"/>
          <c:max val="683784"/>
          <c:min val="-9333482"/>
        </c:scaling>
        <c:delete val="0"/>
        <c:axPos val="r"/>
        <c:numFmt formatCode="#,##0" sourceLinked="1"/>
        <c:majorTickMark val="out"/>
        <c:minorTickMark val="none"/>
        <c:tickLblPos val="none"/>
        <c:crossAx val="159901184"/>
        <c:crosses val="max"/>
        <c:crossBetween val="between"/>
      </c:valAx>
      <c:catAx>
        <c:axId val="159901184"/>
        <c:scaling>
          <c:orientation val="minMax"/>
        </c:scaling>
        <c:delete val="1"/>
        <c:axPos val="b"/>
        <c:numFmt formatCode="General" sourceLinked="1"/>
        <c:majorTickMark val="out"/>
        <c:minorTickMark val="none"/>
        <c:tickLblPos val="nextTo"/>
        <c:crossAx val="159899648"/>
        <c:crosses val="autoZero"/>
        <c:auto val="1"/>
        <c:lblAlgn val="ctr"/>
        <c:lblOffset val="100"/>
        <c:noMultiLvlLbl val="0"/>
      </c:cat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86124429976979"/>
          <c:y val="3.6017906520808989E-2"/>
          <c:w val="0.85568996612853565"/>
          <c:h val="0.84311690965636599"/>
        </c:manualLayout>
      </c:layout>
      <c:barChart>
        <c:barDir val="col"/>
        <c:grouping val="stacked"/>
        <c:varyColors val="0"/>
        <c:ser>
          <c:idx val="0"/>
          <c:order val="0"/>
          <c:tx>
            <c:strRef>
              <c:f>'Clean Energy'!$B$1</c:f>
              <c:strCache>
                <c:ptCount val="1"/>
                <c:pt idx="0">
                  <c:v>Total Emissions</c:v>
                </c:pt>
              </c:strCache>
            </c:strRef>
          </c:tx>
          <c:invertIfNegative val="0"/>
          <c:dPt>
            <c:idx val="1"/>
            <c:invertIfNegative val="0"/>
            <c:bubble3D val="0"/>
            <c:spPr>
              <a:noFill/>
            </c:spPr>
            <c:extLst>
              <c:ext xmlns:c16="http://schemas.microsoft.com/office/drawing/2014/chart" uri="{C3380CC4-5D6E-409C-BE32-E72D297353CC}">
                <c16:uniqueId val="{00000001-5BFA-4949-B886-12EC85ADD694}"/>
              </c:ext>
            </c:extLst>
          </c:dPt>
          <c:dPt>
            <c:idx val="2"/>
            <c:invertIfNegative val="0"/>
            <c:bubble3D val="0"/>
            <c:spPr>
              <a:noFill/>
            </c:spPr>
            <c:extLst>
              <c:ext xmlns:c16="http://schemas.microsoft.com/office/drawing/2014/chart" uri="{C3380CC4-5D6E-409C-BE32-E72D297353CC}">
                <c16:uniqueId val="{00000003-5BFA-4949-B886-12EC85ADD694}"/>
              </c:ext>
            </c:extLst>
          </c:dPt>
          <c:dLbls>
            <c:dLbl>
              <c:idx val="0"/>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BFA-4949-B886-12EC85ADD694}"/>
                </c:ext>
              </c:extLst>
            </c:dLbl>
            <c:dLbl>
              <c:idx val="3"/>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BFA-4949-B886-12EC85ADD694}"/>
                </c:ext>
              </c:extLst>
            </c:dLbl>
            <c:numFmt formatCode="#,##0.00" sourceLinked="0"/>
            <c:spPr>
              <a:noFill/>
              <a:ln>
                <a:noFill/>
              </a:ln>
              <a:effectLst/>
            </c:spPr>
            <c:dLblPos val="inEnd"/>
            <c:showLegendKey val="0"/>
            <c:showVal val="0"/>
            <c:showCatName val="0"/>
            <c:showSerName val="0"/>
            <c:showPercent val="0"/>
            <c:showBubbleSize val="0"/>
            <c:extLst>
              <c:ext xmlns:c15="http://schemas.microsoft.com/office/drawing/2012/chart" uri="{CE6537A1-D6FC-4f65-9D91-7224C49458BB}">
                <c15:showLeaderLines val="0"/>
              </c:ext>
            </c:extLst>
          </c:dLbls>
          <c:cat>
            <c:strRef>
              <c:f>'Clean Energy'!$A$2:$A$5</c:f>
              <c:strCache>
                <c:ptCount val="4"/>
                <c:pt idx="0">
                  <c:v>2006</c:v>
                </c:pt>
                <c:pt idx="1">
                  <c:v>Change Due to 
Cleaner Electricity</c:v>
                </c:pt>
                <c:pt idx="2">
                  <c:v>Changes due to use, efficiency, etc.</c:v>
                </c:pt>
                <c:pt idx="3">
                  <c:v>2013</c:v>
                </c:pt>
              </c:strCache>
            </c:strRef>
          </c:cat>
          <c:val>
            <c:numRef>
              <c:f>'Clean Energy'!$B$2:$B$5</c:f>
              <c:numCache>
                <c:formatCode>#,##0</c:formatCode>
                <c:ptCount val="4"/>
                <c:pt idx="0">
                  <c:v>10486684.268300001</c:v>
                </c:pt>
                <c:pt idx="1">
                  <c:v>0</c:v>
                </c:pt>
                <c:pt idx="2">
                  <c:v>0</c:v>
                </c:pt>
                <c:pt idx="3" formatCode="0">
                  <c:v>7968707.7306422992</c:v>
                </c:pt>
              </c:numCache>
            </c:numRef>
          </c:val>
          <c:extLst>
            <c:ext xmlns:c16="http://schemas.microsoft.com/office/drawing/2014/chart" uri="{C3380CC4-5D6E-409C-BE32-E72D297353CC}">
              <c16:uniqueId val="{00000006-5BFA-4949-B886-12EC85ADD694}"/>
            </c:ext>
          </c:extLst>
        </c:ser>
        <c:ser>
          <c:idx val="1"/>
          <c:order val="1"/>
          <c:tx>
            <c:strRef>
              <c:f>'Clean Energy'!$C$1</c:f>
              <c:strCache>
                <c:ptCount val="1"/>
                <c:pt idx="0">
                  <c:v>Change due to Cleaner Electricity</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'Clean Energy'!$A$2:$A$5</c:f>
              <c:strCache>
                <c:ptCount val="4"/>
                <c:pt idx="0">
                  <c:v>2006</c:v>
                </c:pt>
                <c:pt idx="1">
                  <c:v>Change Due to 
Cleaner Electricity</c:v>
                </c:pt>
                <c:pt idx="2">
                  <c:v>Changes due to use, efficiency, etc.</c:v>
                </c:pt>
                <c:pt idx="3">
                  <c:v>2013</c:v>
                </c:pt>
              </c:strCache>
            </c:strRef>
          </c:cat>
          <c:val>
            <c:numRef>
              <c:f>'Clean Energy'!$C$2:$C$5</c:f>
              <c:numCache>
                <c:formatCode>#,##0</c:formatCode>
                <c:ptCount val="4"/>
                <c:pt idx="1">
                  <c:v>0</c:v>
                </c:pt>
                <c:pt idx="2">
                  <c:v>0</c:v>
                </c:pt>
              </c:numCache>
            </c:numRef>
          </c:val>
          <c:extLst>
            <c:ext xmlns:c16="http://schemas.microsoft.com/office/drawing/2014/chart" uri="{C3380CC4-5D6E-409C-BE32-E72D297353CC}">
              <c16:uniqueId val="{00000007-5BFA-4949-B886-12EC85ADD694}"/>
            </c:ext>
          </c:extLst>
        </c:ser>
        <c:dLbls>
          <c:showLegendKey val="0"/>
          <c:showVal val="0"/>
          <c:showCatName val="0"/>
          <c:showSerName val="0"/>
          <c:showPercent val="0"/>
          <c:showBubbleSize val="0"/>
        </c:dLbls>
        <c:gapWidth val="75"/>
        <c:overlap val="100"/>
        <c:axId val="159986432"/>
        <c:axId val="159989120"/>
      </c:barChart>
      <c:catAx>
        <c:axId val="159986432"/>
        <c:scaling>
          <c:orientation val="minMax"/>
        </c:scaling>
        <c:delete val="0"/>
        <c:axPos val="b"/>
        <c:numFmt formatCode="General" sourceLinked="1"/>
        <c:majorTickMark val="none"/>
        <c:minorTickMark val="none"/>
        <c:tickLblPos val="nextTo"/>
        <c:crossAx val="159989120"/>
        <c:crosses val="autoZero"/>
        <c:auto val="1"/>
        <c:lblAlgn val="ctr"/>
        <c:lblOffset val="100"/>
        <c:noMultiLvlLbl val="0"/>
      </c:catAx>
      <c:valAx>
        <c:axId val="159989120"/>
        <c:scaling>
          <c:orientation val="minMax"/>
          <c:max val="12000000"/>
          <c:min val="0"/>
        </c:scaling>
        <c:delete val="0"/>
        <c:axPos val="l"/>
        <c:majorGridlines>
          <c:spPr>
            <a:ln>
              <a:solidFill>
                <a:schemeClr val="bg1">
                  <a:lumMod val="85000"/>
                </a:schemeClr>
              </a:solidFill>
            </a:ln>
          </c:spPr>
        </c:majorGridlines>
        <c:numFmt formatCode="#,##0" sourceLinked="1"/>
        <c:majorTickMark val="none"/>
        <c:minorTickMark val="none"/>
        <c:tickLblPos val="nextTo"/>
        <c:spPr>
          <a:ln w="6350">
            <a:noFill/>
          </a:ln>
        </c:spPr>
        <c:crossAx val="159986432"/>
        <c:crosses val="autoZero"/>
        <c:crossBetween val="between"/>
        <c:dispUnits>
          <c:builtInUnit val="millions"/>
        </c:dispUnits>
      </c:valAx>
    </c:plotArea>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600075</xdr:colOff>
      <xdr:row>9</xdr:row>
      <xdr:rowOff>119062</xdr:rowOff>
    </xdr:from>
    <xdr:to>
      <xdr:col>12</xdr:col>
      <xdr:colOff>295275</xdr:colOff>
      <xdr:row>24</xdr:row>
      <xdr:rowOff>4762</xdr:rowOff>
    </xdr:to>
    <xdr:graphicFrame macro="">
      <xdr:nvGraphicFramePr>
        <xdr:cNvPr id="3" name="Chart 2">
          <a:extLst>
            <a:ext uri="{FF2B5EF4-FFF2-40B4-BE49-F238E27FC236}">
              <a16:creationId xmlns:a16="http://schemas.microsoft.com/office/drawing/2014/main" id="{00000000-0008-0000-0F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531933</xdr:colOff>
      <xdr:row>0</xdr:row>
      <xdr:rowOff>0</xdr:rowOff>
    </xdr:from>
    <xdr:to>
      <xdr:col>18</xdr:col>
      <xdr:colOff>153865</xdr:colOff>
      <xdr:row>25</xdr:row>
      <xdr:rowOff>153865</xdr:rowOff>
    </xdr:to>
    <xdr:graphicFrame macro="">
      <xdr:nvGraphicFramePr>
        <xdr:cNvPr id="4" name="Chart 3">
          <a:extLst>
            <a:ext uri="{FF2B5EF4-FFF2-40B4-BE49-F238E27FC236}">
              <a16:creationId xmlns:a16="http://schemas.microsoft.com/office/drawing/2014/main" id="{00000000-0008-0000-0F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564174</xdr:colOff>
      <xdr:row>2</xdr:row>
      <xdr:rowOff>593480</xdr:rowOff>
    </xdr:from>
    <xdr:to>
      <xdr:col>17</xdr:col>
      <xdr:colOff>351692</xdr:colOff>
      <xdr:row>2</xdr:row>
      <xdr:rowOff>593480</xdr:rowOff>
    </xdr:to>
    <xdr:cxnSp macro="">
      <xdr:nvCxnSpPr>
        <xdr:cNvPr id="8" name="Straight Connector 7">
          <a:extLst>
            <a:ext uri="{FF2B5EF4-FFF2-40B4-BE49-F238E27FC236}">
              <a16:creationId xmlns:a16="http://schemas.microsoft.com/office/drawing/2014/main" id="{00000000-0008-0000-0F00-000008000000}"/>
            </a:ext>
          </a:extLst>
        </xdr:cNvPr>
        <xdr:cNvCxnSpPr/>
      </xdr:nvCxnSpPr>
      <xdr:spPr>
        <a:xfrm>
          <a:off x="5766289" y="974480"/>
          <a:ext cx="5260730" cy="0"/>
        </a:xfrm>
        <a:prstGeom prst="line">
          <a:avLst/>
        </a:prstGeom>
        <a:ln w="12700">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348760</xdr:colOff>
      <xdr:row>2</xdr:row>
      <xdr:rowOff>728291</xdr:rowOff>
    </xdr:from>
    <xdr:to>
      <xdr:col>18</xdr:col>
      <xdr:colOff>301135</xdr:colOff>
      <xdr:row>3</xdr:row>
      <xdr:rowOff>13916</xdr:rowOff>
    </xdr:to>
    <xdr:sp macro="" textlink="">
      <xdr:nvSpPr>
        <xdr:cNvPr id="11" name="TextBox 10">
          <a:extLst>
            <a:ext uri="{FF2B5EF4-FFF2-40B4-BE49-F238E27FC236}">
              <a16:creationId xmlns:a16="http://schemas.microsoft.com/office/drawing/2014/main" id="{00000000-0008-0000-0F00-00000B000000}"/>
            </a:ext>
          </a:extLst>
        </xdr:cNvPr>
        <xdr:cNvSpPr txBox="1"/>
      </xdr:nvSpPr>
      <xdr:spPr>
        <a:xfrm>
          <a:off x="11024087" y="1109291"/>
          <a:ext cx="56051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mn-lt"/>
            </a:rPr>
            <a:t>16.3%</a:t>
          </a:r>
        </a:p>
      </xdr:txBody>
    </xdr:sp>
    <xdr:clientData/>
  </xdr:twoCellAnchor>
  <xdr:twoCellAnchor>
    <xdr:from>
      <xdr:col>17</xdr:col>
      <xdr:colOff>337038</xdr:colOff>
      <xdr:row>2</xdr:row>
      <xdr:rowOff>600807</xdr:rowOff>
    </xdr:from>
    <xdr:to>
      <xdr:col>17</xdr:col>
      <xdr:colOff>344365</xdr:colOff>
      <xdr:row>4</xdr:row>
      <xdr:rowOff>117231</xdr:rowOff>
    </xdr:to>
    <xdr:cxnSp macro="">
      <xdr:nvCxnSpPr>
        <xdr:cNvPr id="15" name="Straight Arrow Connector 14">
          <a:extLst>
            <a:ext uri="{FF2B5EF4-FFF2-40B4-BE49-F238E27FC236}">
              <a16:creationId xmlns:a16="http://schemas.microsoft.com/office/drawing/2014/main" id="{00000000-0008-0000-0F00-00000F000000}"/>
            </a:ext>
          </a:extLst>
        </xdr:cNvPr>
        <xdr:cNvCxnSpPr/>
      </xdr:nvCxnSpPr>
      <xdr:spPr>
        <a:xfrm>
          <a:off x="11012365" y="981807"/>
          <a:ext cx="7327" cy="659424"/>
        </a:xfrm>
        <a:prstGeom prst="straightConnector1">
          <a:avLst/>
        </a:prstGeom>
        <a:ln w="12700">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0.51908</cdr:x>
      <cdr:y>0.21601</cdr:y>
    </cdr:from>
    <cdr:to>
      <cdr:x>0.61033</cdr:x>
      <cdr:y>0.21601</cdr:y>
    </cdr:to>
    <cdr:cxnSp macro="">
      <cdr:nvCxnSpPr>
        <cdr:cNvPr id="3" name="Straight Connector 2">
          <a:extLst xmlns:a="http://schemas.openxmlformats.org/drawingml/2006/main">
            <a:ext uri="{FF2B5EF4-FFF2-40B4-BE49-F238E27FC236}">
              <a16:creationId xmlns:a16="http://schemas.microsoft.com/office/drawing/2014/main" id="{51937688-A1D2-495A-A052-BC26F748EA09}"/>
            </a:ext>
          </a:extLst>
        </cdr:cNvPr>
        <cdr:cNvCxnSpPr/>
      </cdr:nvCxnSpPr>
      <cdr:spPr>
        <a:xfrm xmlns:a="http://schemas.openxmlformats.org/drawingml/2006/main">
          <a:off x="4223135" y="1061979"/>
          <a:ext cx="742393" cy="0"/>
        </a:xfrm>
        <a:prstGeom xmlns:a="http://schemas.openxmlformats.org/drawingml/2006/main" prst="line">
          <a:avLst/>
        </a:prstGeom>
        <a:ln xmlns:a="http://schemas.openxmlformats.org/drawingml/2006/main" w="12700">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0.73353</cdr:x>
      <cdr:y>0.28411</cdr:y>
    </cdr:from>
    <cdr:to>
      <cdr:x>0.82292</cdr:x>
      <cdr:y>0.28411</cdr:y>
    </cdr:to>
    <cdr:cxnSp macro="">
      <cdr:nvCxnSpPr>
        <cdr:cNvPr id="5" name="Straight Connector 4">
          <a:extLst xmlns:a="http://schemas.openxmlformats.org/drawingml/2006/main">
            <a:ext uri="{FF2B5EF4-FFF2-40B4-BE49-F238E27FC236}">
              <a16:creationId xmlns:a16="http://schemas.microsoft.com/office/drawing/2014/main" id="{2BC8BEC0-0F7E-4DA5-BA40-63C3D45228F4}"/>
            </a:ext>
          </a:extLst>
        </cdr:cNvPr>
        <cdr:cNvCxnSpPr/>
      </cdr:nvCxnSpPr>
      <cdr:spPr>
        <a:xfrm xmlns:a="http://schemas.openxmlformats.org/drawingml/2006/main">
          <a:off x="5967880" y="1396767"/>
          <a:ext cx="727260" cy="0"/>
        </a:xfrm>
        <a:prstGeom xmlns:a="http://schemas.openxmlformats.org/drawingml/2006/main" prst="line">
          <a:avLst/>
        </a:prstGeom>
        <a:ln xmlns:a="http://schemas.openxmlformats.org/drawingml/2006/main" w="12700">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0.43174</cdr:x>
      <cdr:y>0.19484</cdr:y>
    </cdr:from>
    <cdr:to>
      <cdr:x>0.44344</cdr:x>
      <cdr:y>0.19484</cdr:y>
    </cdr:to>
    <cdr:cxnSp macro="">
      <cdr:nvCxnSpPr>
        <cdr:cNvPr id="4" name="Straight Connector 3">
          <a:extLst xmlns:a="http://schemas.openxmlformats.org/drawingml/2006/main">
            <a:ext uri="{FF2B5EF4-FFF2-40B4-BE49-F238E27FC236}">
              <a16:creationId xmlns:a16="http://schemas.microsoft.com/office/drawing/2014/main" id="{A8E70CA2-96CF-4700-A5F0-636EF41C51E8}"/>
            </a:ext>
          </a:extLst>
        </cdr:cNvPr>
        <cdr:cNvCxnSpPr/>
      </cdr:nvCxnSpPr>
      <cdr:spPr>
        <a:xfrm xmlns:a="http://schemas.openxmlformats.org/drawingml/2006/main">
          <a:off x="3512528" y="1106365"/>
          <a:ext cx="95250" cy="1"/>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0.64409</cdr:x>
      <cdr:y>0.25394</cdr:y>
    </cdr:from>
    <cdr:to>
      <cdr:x>0.65598</cdr:x>
      <cdr:y>0.25419</cdr:y>
    </cdr:to>
    <cdr:cxnSp macro="">
      <cdr:nvCxnSpPr>
        <cdr:cNvPr id="8" name="Straight Connector 7">
          <a:extLst xmlns:a="http://schemas.openxmlformats.org/drawingml/2006/main">
            <a:ext uri="{FF2B5EF4-FFF2-40B4-BE49-F238E27FC236}">
              <a16:creationId xmlns:a16="http://schemas.microsoft.com/office/drawing/2014/main" id="{A05C2EB5-D9A3-47ED-A1D0-767C5F445F9F}"/>
            </a:ext>
          </a:extLst>
        </cdr:cNvPr>
        <cdr:cNvCxnSpPr/>
      </cdr:nvCxnSpPr>
      <cdr:spPr>
        <a:xfrm xmlns:a="http://schemas.openxmlformats.org/drawingml/2006/main">
          <a:off x="5240217" y="1441938"/>
          <a:ext cx="96716" cy="1465"/>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Emissions%20&amp;%20Transit%20Factors/WMATA%20Data%20-%20DO%20NOT%20MOV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6%20Inventory/Inventory%20Data%20Request%20Tracke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6%20Inventory/Inventory%20Data%20Request%20Tracker%202014-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tion 2019"/>
      <sheetName val="Non-Traction 2019"/>
      <sheetName val="Old Metrorail"/>
      <sheetName val="Metrobus"/>
      <sheetName val="DC's Emissions Metrorail_Facili"/>
    </sheetNames>
    <sheetDataSet>
      <sheetData sheetId="0">
        <row r="11">
          <cell r="X11">
            <v>204545675</v>
          </cell>
        </row>
      </sheetData>
      <sheetData sheetId="1">
        <row r="11">
          <cell r="X11">
            <v>148163659</v>
          </cell>
        </row>
      </sheetData>
      <sheetData sheetId="2"/>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HG Inventory  "/>
    </sheetNames>
    <sheetDataSet>
      <sheetData sheetId="0" refreshError="1">
        <row r="59">
          <cell r="C59">
            <v>9708744.7799999993</v>
          </cell>
        </row>
        <row r="89">
          <cell r="C89">
            <v>9750111</v>
          </cell>
        </row>
        <row r="90">
          <cell r="C90">
            <v>389350468</v>
          </cell>
        </row>
        <row r="92">
          <cell r="C92">
            <v>41266.6</v>
          </cell>
          <cell r="D92">
            <v>27608.714</v>
          </cell>
        </row>
        <row r="102">
          <cell r="C102">
            <v>448333.4</v>
          </cell>
        </row>
        <row r="103">
          <cell r="C103">
            <v>17300982</v>
          </cell>
        </row>
        <row r="104">
          <cell r="C104">
            <v>12000</v>
          </cell>
          <cell r="D104">
            <v>12000</v>
          </cell>
        </row>
        <row r="108">
          <cell r="C108">
            <v>4909931</v>
          </cell>
        </row>
        <row r="109">
          <cell r="C109">
            <v>66221216</v>
          </cell>
        </row>
        <row r="120">
          <cell r="C120">
            <v>11555</v>
          </cell>
        </row>
        <row r="121">
          <cell r="C121">
            <v>20492428</v>
          </cell>
        </row>
        <row r="123">
          <cell r="C123">
            <v>28890.9</v>
          </cell>
          <cell r="D123">
            <v>32852.61</v>
          </cell>
        </row>
        <row r="153">
          <cell r="C153">
            <v>7443.94</v>
          </cell>
          <cell r="D153">
            <v>13237.876</v>
          </cell>
        </row>
        <row r="155">
          <cell r="C155">
            <v>401</v>
          </cell>
          <cell r="D155">
            <v>1074.002</v>
          </cell>
        </row>
        <row r="157">
          <cell r="C157">
            <v>17770.490000000002</v>
          </cell>
          <cell r="D157">
            <v>22212.007000000001</v>
          </cell>
        </row>
        <row r="159">
          <cell r="C159">
            <v>3384.4189999999999</v>
          </cell>
          <cell r="D159">
            <v>2263.625</v>
          </cell>
        </row>
        <row r="160">
          <cell r="C160">
            <v>38829.866000000002</v>
          </cell>
          <cell r="D160">
            <v>48408.76</v>
          </cell>
        </row>
        <row r="161">
          <cell r="C161">
            <v>63.1</v>
          </cell>
          <cell r="D161">
            <v>47</v>
          </cell>
        </row>
        <row r="162">
          <cell r="C162">
            <v>680.5</v>
          </cell>
          <cell r="D162">
            <v>8295.2150000000001</v>
          </cell>
        </row>
        <row r="163">
          <cell r="C163">
            <v>11559.055</v>
          </cell>
          <cell r="D163">
            <v>6129.8429999999998</v>
          </cell>
        </row>
        <row r="164">
          <cell r="C164">
            <v>40874.432000000001</v>
          </cell>
          <cell r="D164">
            <v>36111.894</v>
          </cell>
        </row>
        <row r="165">
          <cell r="C165">
            <v>1607.3</v>
          </cell>
          <cell r="D165">
            <v>2600.7049999999999</v>
          </cell>
        </row>
        <row r="166">
          <cell r="C166">
            <v>16110.722</v>
          </cell>
          <cell r="D166">
            <v>4304.6040000000003</v>
          </cell>
        </row>
        <row r="167">
          <cell r="C167">
            <v>14922.546</v>
          </cell>
          <cell r="D167">
            <v>11738.726000000001</v>
          </cell>
        </row>
        <row r="168">
          <cell r="C168">
            <v>5341.223</v>
          </cell>
          <cell r="D168">
            <v>5492.8119999999999</v>
          </cell>
        </row>
        <row r="169">
          <cell r="C169">
            <v>1517.008</v>
          </cell>
          <cell r="D169">
            <v>21198.508000000002</v>
          </cell>
        </row>
        <row r="187">
          <cell r="C187">
            <v>713286.47</v>
          </cell>
          <cell r="D187">
            <v>683679.8</v>
          </cell>
        </row>
        <row r="194">
          <cell r="C194">
            <v>427605.77</v>
          </cell>
          <cell r="D194">
            <v>521996.97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HG Inventory  "/>
    </sheetNames>
    <sheetDataSet>
      <sheetData sheetId="0">
        <row r="92">
          <cell r="D92" t="str">
            <v>2015 Usage</v>
          </cell>
          <cell r="E92" t="str">
            <v>2016 Usage</v>
          </cell>
        </row>
        <row r="93">
          <cell r="D93">
            <v>8480746</v>
          </cell>
          <cell r="E93">
            <v>7408887.9239999996</v>
          </cell>
        </row>
        <row r="105">
          <cell r="D105" t="str">
            <v>2015 Usage</v>
          </cell>
          <cell r="E105" t="str">
            <v>2016 Usage</v>
          </cell>
        </row>
        <row r="106">
          <cell r="D106">
            <v>435739</v>
          </cell>
          <cell r="E106">
            <v>362255</v>
          </cell>
        </row>
        <row r="111">
          <cell r="D111" t="str">
            <v>2015 Usage</v>
          </cell>
          <cell r="E111" t="str">
            <v>2016 Usage</v>
          </cell>
        </row>
        <row r="112">
          <cell r="D112">
            <v>4577292</v>
          </cell>
          <cell r="E112">
            <v>4139059</v>
          </cell>
        </row>
        <row r="117">
          <cell r="D117" t="str">
            <v>2015 Usage</v>
          </cell>
          <cell r="E117" t="str">
            <v>2016 Usage</v>
          </cell>
        </row>
        <row r="118">
          <cell r="D118">
            <v>4238635</v>
          </cell>
          <cell r="E118">
            <v>3513443</v>
          </cell>
        </row>
        <row r="123">
          <cell r="D123" t="str">
            <v>2015 Usage</v>
          </cell>
          <cell r="E123" t="str">
            <v>2016 Usage</v>
          </cell>
        </row>
        <row r="124">
          <cell r="D124">
            <v>15273</v>
          </cell>
          <cell r="E124">
            <v>15553</v>
          </cell>
        </row>
        <row r="140">
          <cell r="E140"/>
        </row>
        <row r="162">
          <cell r="E162">
            <v>5</v>
          </cell>
        </row>
        <row r="163">
          <cell r="E163">
            <v>25215.35</v>
          </cell>
        </row>
        <row r="164">
          <cell r="E164">
            <v>5</v>
          </cell>
        </row>
        <row r="165">
          <cell r="E165">
            <v>5568.34</v>
          </cell>
        </row>
        <row r="169">
          <cell r="E169">
            <v>6034.13</v>
          </cell>
        </row>
        <row r="170">
          <cell r="E170">
            <v>40193.83</v>
          </cell>
        </row>
        <row r="171">
          <cell r="E171">
            <v>1245</v>
          </cell>
        </row>
        <row r="172">
          <cell r="E172">
            <v>10146.01</v>
          </cell>
        </row>
        <row r="174">
          <cell r="E174">
            <v>3436.91</v>
          </cell>
        </row>
      </sheetData>
    </sheetDataSet>
  </externalBook>
</externalLink>
</file>

<file path=xl/persons/person.xml><?xml version="1.0" encoding="utf-8"?>
<personList xmlns="http://schemas.microsoft.com/office/spreadsheetml/2018/threadedcomments" xmlns:x="http://schemas.openxmlformats.org/spreadsheetml/2006/main">
  <person displayName="Hatch, Jenn (DOEE)" id="{2E0DE176-F4F5-444E-BD65-FB75E9C3A555}" userId="S::jenn.hatch@dc.gov::1fc5b221-2b60-4cf7-9a88-75be25236be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X40" dT="2020-06-17T19:37:05.50" personId="{2E0DE176-F4F5-444E-BD65-FB75E9C3A555}" id="{09349D20-5A97-4733-8B04-73B51BE22069}">
    <text>this is a holdover from 2017 until we get 2018 data from DC Water</text>
  </threadedComment>
</ThreadedComments>
</file>

<file path=xl/threadedComments/threadedComment2.xml><?xml version="1.0" encoding="utf-8"?>
<ThreadedComments xmlns="http://schemas.microsoft.com/office/spreadsheetml/2018/threadedcomments" xmlns:x="http://schemas.openxmlformats.org/spreadsheetml/2006/main">
  <threadedComment ref="X43" dT="2020-10-20T13:11:36.79" personId="{2E0DE176-F4F5-444E-BD65-FB75E9C3A555}" id="{066E831B-6A29-4366-B863-C541BD4BF8EA}">
    <text>Held over from 2017 pending new data from DC Water</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AHO53"/>
  <sheetViews>
    <sheetView tabSelected="1" zoomScale="90" zoomScaleNormal="90" workbookViewId="0">
      <pane xSplit="2" ySplit="3" topLeftCell="Q4" activePane="bottomRight" state="frozen"/>
      <selection activeCell="K46" sqref="K46"/>
      <selection pane="topRight" activeCell="K46" sqref="K46"/>
      <selection pane="bottomLeft" activeCell="K46" sqref="K46"/>
      <selection pane="bottomRight" activeCell="W43" sqref="W43"/>
    </sheetView>
  </sheetViews>
  <sheetFormatPr defaultColWidth="9.15625" defaultRowHeight="14.4" x14ac:dyDescent="0.55000000000000004"/>
  <cols>
    <col min="1" max="1" width="37.15625" style="283" customWidth="1"/>
    <col min="2" max="2" width="14.15625" style="283" customWidth="1"/>
    <col min="3" max="3" width="16.15625" style="283" customWidth="1"/>
    <col min="4" max="4" width="16" style="283" bestFit="1" customWidth="1"/>
    <col min="5" max="5" width="17.578125" style="283" bestFit="1" customWidth="1"/>
    <col min="6" max="6" width="19.68359375" style="283" customWidth="1"/>
    <col min="7" max="7" width="17.68359375" style="283" customWidth="1"/>
    <col min="8" max="8" width="14.578125" style="283" bestFit="1" customWidth="1"/>
    <col min="9" max="9" width="16.83984375" style="283" customWidth="1"/>
    <col min="10" max="10" width="18.68359375" style="283" bestFit="1" customWidth="1"/>
    <col min="11" max="11" width="17.68359375" style="283" bestFit="1" customWidth="1"/>
    <col min="12" max="12" width="14.578125" style="283" bestFit="1" customWidth="1"/>
    <col min="13" max="13" width="19.15625" style="283" customWidth="1"/>
    <col min="14" max="14" width="14.68359375" style="283" bestFit="1" customWidth="1"/>
    <col min="15" max="15" width="19" style="283" customWidth="1"/>
    <col min="16" max="16" width="14.83984375" style="282" customWidth="1"/>
    <col min="17" max="17" width="16.578125" style="283" customWidth="1"/>
    <col min="18" max="18" width="14.83984375" style="282" customWidth="1"/>
    <col min="19" max="19" width="16.578125" style="287" customWidth="1"/>
    <col min="20" max="20" width="14.83984375" style="288" customWidth="1"/>
    <col min="21" max="21" width="15.83984375" style="283" customWidth="1"/>
    <col min="22" max="22" width="16.68359375" style="283" bestFit="1" customWidth="1"/>
    <col min="23" max="23" width="18.83984375" style="287" bestFit="1" customWidth="1"/>
    <col min="24" max="24" width="17.15625" style="283" bestFit="1" customWidth="1"/>
    <col min="25" max="25" width="9.15625" style="283" bestFit="1" customWidth="1"/>
    <col min="26" max="16384" width="9.15625" style="283"/>
  </cols>
  <sheetData>
    <row r="1" spans="1:151" s="281" customFormat="1" ht="15.6" x14ac:dyDescent="0.6">
      <c r="A1" s="319" t="s">
        <v>48</v>
      </c>
      <c r="B1" s="391"/>
      <c r="C1" s="752">
        <v>2006</v>
      </c>
      <c r="D1" s="754"/>
      <c r="E1" s="755">
        <v>2009</v>
      </c>
      <c r="F1" s="754"/>
      <c r="G1" s="755">
        <v>2010</v>
      </c>
      <c r="H1" s="754"/>
      <c r="I1" s="755">
        <v>2011</v>
      </c>
      <c r="J1" s="754"/>
      <c r="K1" s="755">
        <v>2012</v>
      </c>
      <c r="L1" s="754"/>
      <c r="M1" s="755">
        <v>2013</v>
      </c>
      <c r="N1" s="754"/>
      <c r="O1" s="755">
        <v>2014</v>
      </c>
      <c r="P1" s="754"/>
      <c r="Q1" s="755">
        <v>2015</v>
      </c>
      <c r="R1" s="754"/>
      <c r="S1" s="756">
        <v>2016</v>
      </c>
      <c r="T1" s="757"/>
      <c r="U1" s="752">
        <v>2017</v>
      </c>
      <c r="V1" s="753"/>
      <c r="W1" s="752">
        <v>2018</v>
      </c>
      <c r="X1" s="753"/>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c r="DM1" s="282"/>
      <c r="DN1" s="282"/>
      <c r="DO1" s="282"/>
      <c r="DP1" s="282"/>
      <c r="DQ1" s="282"/>
      <c r="DR1" s="282"/>
      <c r="DS1" s="282"/>
      <c r="DT1" s="282"/>
      <c r="DU1" s="282"/>
      <c r="DV1" s="282"/>
      <c r="DW1" s="282"/>
      <c r="DX1" s="282"/>
      <c r="DY1" s="282"/>
      <c r="DZ1" s="282"/>
      <c r="EA1" s="282"/>
      <c r="EB1" s="282"/>
      <c r="EC1" s="282"/>
      <c r="ED1" s="282"/>
      <c r="EE1" s="282"/>
      <c r="EF1" s="282"/>
      <c r="EG1" s="282"/>
      <c r="EH1" s="282"/>
      <c r="EI1" s="282"/>
      <c r="EJ1" s="282"/>
      <c r="EK1" s="282"/>
      <c r="EL1" s="282"/>
      <c r="EM1" s="282"/>
      <c r="EN1" s="282"/>
      <c r="EO1" s="282"/>
      <c r="EP1" s="282"/>
      <c r="EQ1" s="282"/>
      <c r="ER1" s="282"/>
      <c r="ES1" s="282"/>
      <c r="ET1" s="282"/>
      <c r="EU1" s="282"/>
    </row>
    <row r="2" spans="1:151" s="364" customFormat="1" ht="15.9" thickBot="1" x14ac:dyDescent="0.6">
      <c r="A2" s="313" t="s">
        <v>0</v>
      </c>
      <c r="B2" s="323" t="s">
        <v>1</v>
      </c>
      <c r="C2" s="294" t="s">
        <v>38</v>
      </c>
      <c r="D2" s="297" t="s">
        <v>160</v>
      </c>
      <c r="E2" s="305" t="s">
        <v>38</v>
      </c>
      <c r="F2" s="297" t="s">
        <v>160</v>
      </c>
      <c r="G2" s="294" t="s">
        <v>38</v>
      </c>
      <c r="H2" s="297" t="s">
        <v>160</v>
      </c>
      <c r="I2" s="294" t="s">
        <v>38</v>
      </c>
      <c r="J2" s="297" t="s">
        <v>160</v>
      </c>
      <c r="K2" s="294" t="s">
        <v>38</v>
      </c>
      <c r="L2" s="297" t="s">
        <v>160</v>
      </c>
      <c r="M2" s="294" t="s">
        <v>38</v>
      </c>
      <c r="N2" s="297" t="s">
        <v>160</v>
      </c>
      <c r="O2" s="294" t="s">
        <v>38</v>
      </c>
      <c r="P2" s="297" t="s">
        <v>160</v>
      </c>
      <c r="Q2" s="294" t="s">
        <v>38</v>
      </c>
      <c r="R2" s="297" t="s">
        <v>160</v>
      </c>
      <c r="S2" s="294" t="s">
        <v>38</v>
      </c>
      <c r="T2" s="297" t="s">
        <v>160</v>
      </c>
      <c r="U2" s="305" t="s">
        <v>38</v>
      </c>
      <c r="V2" s="543" t="s">
        <v>160</v>
      </c>
      <c r="W2" s="305" t="s">
        <v>38</v>
      </c>
      <c r="X2" s="543" t="s">
        <v>160</v>
      </c>
    </row>
    <row r="3" spans="1:151" s="289" customFormat="1" x14ac:dyDescent="0.55000000000000004">
      <c r="A3" s="399" t="s">
        <v>7</v>
      </c>
      <c r="B3" s="400"/>
      <c r="C3" s="401"/>
      <c r="D3" s="400"/>
      <c r="E3" s="401"/>
      <c r="F3" s="400"/>
      <c r="G3" s="402"/>
      <c r="H3" s="400"/>
      <c r="I3" s="402"/>
      <c r="J3" s="400"/>
      <c r="K3" s="402"/>
      <c r="L3" s="400"/>
      <c r="M3" s="402"/>
      <c r="N3" s="400"/>
      <c r="O3" s="402"/>
      <c r="P3" s="400"/>
      <c r="Q3" s="402"/>
      <c r="R3" s="400"/>
      <c r="S3" s="598"/>
      <c r="T3" s="597"/>
      <c r="U3" s="598"/>
      <c r="V3" s="597"/>
      <c r="W3" s="598"/>
      <c r="X3" s="597"/>
    </row>
    <row r="4" spans="1:151" x14ac:dyDescent="0.55000000000000004">
      <c r="A4" s="395" t="s">
        <v>8</v>
      </c>
      <c r="B4" s="370"/>
      <c r="C4" s="349"/>
      <c r="D4" s="394"/>
      <c r="E4" s="373"/>
      <c r="F4" s="376"/>
      <c r="G4" s="372"/>
      <c r="H4" s="376"/>
      <c r="I4" s="371"/>
      <c r="J4" s="376"/>
      <c r="K4" s="373"/>
      <c r="L4" s="375"/>
      <c r="M4" s="373"/>
      <c r="N4" s="375"/>
      <c r="O4" s="373"/>
      <c r="P4" s="375"/>
      <c r="Q4" s="373"/>
      <c r="R4" s="375"/>
      <c r="S4" s="583"/>
      <c r="T4" s="585"/>
      <c r="U4" s="541"/>
      <c r="V4" s="739"/>
      <c r="W4" s="50"/>
      <c r="X4" s="544"/>
      <c r="Y4" s="282"/>
      <c r="Z4" s="282"/>
      <c r="AA4" s="282"/>
      <c r="AB4" s="282"/>
      <c r="AC4" s="282"/>
      <c r="AD4" s="282"/>
      <c r="AE4" s="282"/>
      <c r="AF4" s="282"/>
      <c r="AG4" s="282"/>
      <c r="AH4" s="282"/>
      <c r="AI4" s="282"/>
      <c r="AJ4" s="282"/>
      <c r="AK4" s="282"/>
      <c r="AL4" s="282"/>
      <c r="AM4" s="282"/>
      <c r="AN4" s="282"/>
      <c r="AO4" s="282"/>
      <c r="AP4" s="282"/>
      <c r="AQ4" s="282"/>
      <c r="AR4" s="282"/>
      <c r="AS4" s="282"/>
      <c r="AT4" s="282"/>
      <c r="AU4" s="282"/>
      <c r="AV4" s="282"/>
      <c r="AW4" s="282"/>
      <c r="AX4" s="282"/>
      <c r="AY4" s="282"/>
      <c r="AZ4" s="282"/>
      <c r="BA4" s="282"/>
      <c r="BB4" s="282"/>
      <c r="BC4" s="282"/>
      <c r="BD4" s="282"/>
      <c r="BE4" s="282"/>
      <c r="BF4" s="282"/>
      <c r="BG4" s="282"/>
      <c r="BH4" s="282"/>
      <c r="BI4" s="282"/>
      <c r="BJ4" s="282"/>
      <c r="BK4" s="282"/>
      <c r="BL4" s="282"/>
      <c r="BM4" s="282"/>
      <c r="BN4" s="282"/>
      <c r="BO4" s="282"/>
      <c r="BP4" s="282"/>
      <c r="BQ4" s="282"/>
      <c r="BR4" s="282"/>
      <c r="BS4" s="282"/>
      <c r="BT4" s="282"/>
      <c r="BU4" s="282"/>
      <c r="BV4" s="282"/>
      <c r="BW4" s="282"/>
      <c r="BX4" s="282"/>
      <c r="BY4" s="282"/>
      <c r="BZ4" s="282"/>
      <c r="CA4" s="282"/>
      <c r="CB4" s="282"/>
      <c r="CC4" s="282"/>
      <c r="CD4" s="282"/>
      <c r="CE4" s="282"/>
      <c r="CF4" s="282"/>
      <c r="CG4" s="282"/>
      <c r="CH4" s="282"/>
      <c r="CI4" s="282"/>
      <c r="CJ4" s="282"/>
      <c r="CK4" s="282"/>
      <c r="CL4" s="282"/>
      <c r="CM4" s="282"/>
      <c r="CN4" s="282"/>
      <c r="CO4" s="282"/>
      <c r="CP4" s="282"/>
      <c r="CQ4" s="282"/>
      <c r="CR4" s="282"/>
      <c r="CS4" s="282"/>
      <c r="CT4" s="282"/>
      <c r="CU4" s="282"/>
      <c r="CV4" s="282"/>
      <c r="CW4" s="282"/>
      <c r="CX4" s="282"/>
      <c r="CY4" s="282"/>
      <c r="CZ4" s="282"/>
      <c r="DA4" s="282"/>
      <c r="DB4" s="282"/>
      <c r="DC4" s="282"/>
      <c r="DD4" s="282"/>
      <c r="DE4" s="282"/>
      <c r="DF4" s="282"/>
      <c r="DG4" s="282"/>
      <c r="DH4" s="282"/>
      <c r="DI4" s="282"/>
      <c r="DJ4" s="282"/>
      <c r="DK4" s="282"/>
      <c r="DL4" s="282"/>
      <c r="DM4" s="282"/>
      <c r="DN4" s="282"/>
      <c r="DO4" s="282"/>
      <c r="DP4" s="282"/>
      <c r="DQ4" s="282"/>
      <c r="DR4" s="282"/>
      <c r="DS4" s="282"/>
      <c r="DT4" s="282"/>
      <c r="DU4" s="282"/>
      <c r="DV4" s="282"/>
      <c r="DW4" s="282"/>
      <c r="DX4" s="282"/>
      <c r="DY4" s="282"/>
      <c r="DZ4" s="282"/>
      <c r="EA4" s="282"/>
      <c r="EB4" s="282"/>
      <c r="EC4" s="282"/>
      <c r="ED4" s="282"/>
      <c r="EE4" s="282"/>
      <c r="EF4" s="282"/>
      <c r="EG4" s="282"/>
      <c r="EH4" s="282"/>
      <c r="EI4" s="282"/>
      <c r="EJ4" s="282"/>
      <c r="EK4" s="282"/>
      <c r="EL4" s="282"/>
      <c r="EM4" s="282"/>
      <c r="EN4" s="282"/>
      <c r="EO4" s="282"/>
      <c r="EP4" s="282"/>
      <c r="EQ4" s="282"/>
      <c r="ER4" s="282"/>
      <c r="ES4" s="282"/>
      <c r="ET4" s="282"/>
      <c r="EU4" s="282"/>
    </row>
    <row r="5" spans="1:151" x14ac:dyDescent="0.55000000000000004">
      <c r="A5" s="396" t="s">
        <v>11</v>
      </c>
      <c r="B5" s="370" t="s">
        <v>27</v>
      </c>
      <c r="C5" s="373">
        <v>117083476</v>
      </c>
      <c r="D5" s="376">
        <v>622726</v>
      </c>
      <c r="E5" s="373">
        <v>129427185</v>
      </c>
      <c r="F5" s="376">
        <v>688378</v>
      </c>
      <c r="G5" s="371">
        <v>129597931</v>
      </c>
      <c r="H5" s="376">
        <v>689286</v>
      </c>
      <c r="I5" s="371">
        <v>127964888</v>
      </c>
      <c r="J5" s="376">
        <v>680600</v>
      </c>
      <c r="K5" s="373">
        <v>104670680</v>
      </c>
      <c r="L5" s="350">
        <v>556707</v>
      </c>
      <c r="M5" s="374">
        <v>152241343</v>
      </c>
      <c r="N5" s="375">
        <v>809718</v>
      </c>
      <c r="O5" s="352">
        <v>139661508</v>
      </c>
      <c r="P5" s="375">
        <v>742811</v>
      </c>
      <c r="Q5" s="373">
        <v>131850947</v>
      </c>
      <c r="R5" s="375">
        <v>701269</v>
      </c>
      <c r="S5" s="545">
        <v>111379665.69000001</v>
      </c>
      <c r="T5" s="586">
        <v>592389</v>
      </c>
      <c r="U5" s="541">
        <v>116171815</v>
      </c>
      <c r="V5" s="739">
        <v>617877</v>
      </c>
      <c r="W5" s="50">
        <v>134151477.67</v>
      </c>
      <c r="X5" s="544">
        <v>713505</v>
      </c>
      <c r="Y5" s="282"/>
      <c r="Z5" s="282"/>
      <c r="AA5" s="282"/>
      <c r="AB5" s="282"/>
      <c r="AC5" s="282"/>
      <c r="AD5" s="282"/>
      <c r="AE5" s="282"/>
      <c r="AF5" s="282"/>
      <c r="AG5" s="282"/>
      <c r="AH5" s="282"/>
      <c r="AI5" s="282"/>
      <c r="AJ5" s="282"/>
      <c r="AK5" s="282"/>
      <c r="AL5" s="282"/>
      <c r="AM5" s="282"/>
      <c r="AN5" s="282"/>
      <c r="AO5" s="282"/>
      <c r="AP5" s="282"/>
      <c r="AQ5" s="282"/>
      <c r="AR5" s="282"/>
      <c r="AS5" s="282"/>
      <c r="AT5" s="282"/>
      <c r="AU5" s="282"/>
      <c r="AV5" s="282"/>
      <c r="AW5" s="282"/>
      <c r="AX5" s="282"/>
      <c r="AY5" s="282"/>
      <c r="AZ5" s="282"/>
      <c r="BA5" s="282"/>
      <c r="BB5" s="282"/>
      <c r="BC5" s="282"/>
      <c r="BD5" s="282"/>
      <c r="BE5" s="282"/>
      <c r="BF5" s="282"/>
      <c r="BG5" s="282"/>
      <c r="BH5" s="282"/>
      <c r="BI5" s="282"/>
      <c r="BJ5" s="282"/>
      <c r="BK5" s="282"/>
      <c r="BL5" s="282"/>
      <c r="BM5" s="282"/>
      <c r="BN5" s="282"/>
      <c r="BO5" s="282"/>
      <c r="BP5" s="282"/>
      <c r="BQ5" s="282"/>
      <c r="BR5" s="282"/>
      <c r="BS5" s="282"/>
      <c r="BT5" s="282"/>
      <c r="BU5" s="282"/>
      <c r="BV5" s="282"/>
      <c r="BW5" s="282"/>
      <c r="BX5" s="282"/>
      <c r="BY5" s="282"/>
      <c r="BZ5" s="282"/>
      <c r="CA5" s="282"/>
      <c r="CB5" s="282"/>
      <c r="CC5" s="282"/>
      <c r="CD5" s="282"/>
      <c r="CE5" s="282"/>
      <c r="CF5" s="282"/>
      <c r="CG5" s="282"/>
      <c r="CH5" s="282"/>
      <c r="CI5" s="282"/>
      <c r="CJ5" s="282"/>
      <c r="CK5" s="282"/>
      <c r="CL5" s="282"/>
      <c r="CM5" s="282"/>
      <c r="CN5" s="282"/>
      <c r="CO5" s="282"/>
      <c r="CP5" s="282"/>
      <c r="CQ5" s="282"/>
      <c r="CR5" s="282"/>
      <c r="CS5" s="282"/>
      <c r="CT5" s="282"/>
      <c r="CU5" s="282"/>
      <c r="CV5" s="282"/>
      <c r="CW5" s="282"/>
      <c r="CX5" s="282"/>
      <c r="CY5" s="282"/>
      <c r="CZ5" s="282"/>
      <c r="DA5" s="282"/>
      <c r="DB5" s="282"/>
      <c r="DC5" s="282"/>
      <c r="DD5" s="282"/>
      <c r="DE5" s="282"/>
      <c r="DF5" s="282"/>
      <c r="DG5" s="282"/>
      <c r="DH5" s="282"/>
      <c r="DI5" s="282"/>
      <c r="DJ5" s="282"/>
      <c r="DK5" s="282"/>
      <c r="DL5" s="282"/>
      <c r="DM5" s="282"/>
      <c r="DN5" s="282"/>
      <c r="DO5" s="282"/>
      <c r="DP5" s="282"/>
      <c r="DQ5" s="282"/>
      <c r="DR5" s="282"/>
      <c r="DS5" s="282"/>
      <c r="DT5" s="282"/>
      <c r="DU5" s="282"/>
      <c r="DV5" s="282"/>
      <c r="DW5" s="282"/>
      <c r="DX5" s="282"/>
      <c r="DY5" s="282"/>
      <c r="DZ5" s="282"/>
      <c r="EA5" s="282"/>
      <c r="EB5" s="282"/>
      <c r="EC5" s="282"/>
      <c r="ED5" s="282"/>
      <c r="EE5" s="282"/>
      <c r="EF5" s="282"/>
      <c r="EG5" s="282"/>
      <c r="EH5" s="282"/>
      <c r="EI5" s="282"/>
      <c r="EJ5" s="282"/>
      <c r="EK5" s="282"/>
      <c r="EL5" s="282"/>
      <c r="EM5" s="282"/>
      <c r="EN5" s="282"/>
      <c r="EO5" s="282"/>
      <c r="EP5" s="282"/>
      <c r="EQ5" s="282"/>
      <c r="ER5" s="282"/>
      <c r="ES5" s="282"/>
      <c r="ET5" s="282"/>
      <c r="EU5" s="282"/>
    </row>
    <row r="6" spans="1:151" x14ac:dyDescent="0.55000000000000004">
      <c r="A6" s="396" t="s">
        <v>12</v>
      </c>
      <c r="B6" s="370" t="s">
        <v>28</v>
      </c>
      <c r="C6" s="373">
        <v>1836662611</v>
      </c>
      <c r="D6" s="376">
        <v>953792.67669999995</v>
      </c>
      <c r="E6" s="373">
        <v>2275888699</v>
      </c>
      <c r="F6" s="376">
        <v>982915.59550000005</v>
      </c>
      <c r="G6" s="371">
        <v>1891782070</v>
      </c>
      <c r="H6" s="376">
        <v>863711.25199999998</v>
      </c>
      <c r="I6" s="371">
        <v>1844708642</v>
      </c>
      <c r="J6" s="376">
        <v>842219.42689999996</v>
      </c>
      <c r="K6" s="373">
        <v>1799281788</v>
      </c>
      <c r="L6" s="350">
        <v>703795.647</v>
      </c>
      <c r="M6" s="374">
        <v>1830231894</v>
      </c>
      <c r="N6" s="375">
        <v>715901.89410000003</v>
      </c>
      <c r="O6" s="352">
        <v>1830231894</v>
      </c>
      <c r="P6" s="375">
        <v>692733.24970000004</v>
      </c>
      <c r="Q6" s="352">
        <v>2251246581</v>
      </c>
      <c r="R6" s="375">
        <v>852085.11829999997</v>
      </c>
      <c r="S6" s="584">
        <v>2161793825</v>
      </c>
      <c r="T6" s="586">
        <v>747182.94660000002</v>
      </c>
      <c r="U6" s="541">
        <v>1876849101</v>
      </c>
      <c r="V6" s="739">
        <v>648697</v>
      </c>
      <c r="W6" s="50">
        <v>2584918053</v>
      </c>
      <c r="X6" s="544">
        <v>843959</v>
      </c>
      <c r="Y6" s="282"/>
      <c r="Z6" s="282"/>
      <c r="AA6" s="282"/>
      <c r="AB6" s="282"/>
      <c r="AC6" s="282"/>
      <c r="AD6" s="282"/>
      <c r="AE6" s="282"/>
      <c r="AF6" s="282"/>
      <c r="AG6" s="282"/>
      <c r="AH6" s="282"/>
      <c r="AI6" s="282"/>
      <c r="AJ6" s="282"/>
      <c r="AK6" s="282"/>
      <c r="AL6" s="282"/>
      <c r="AM6" s="282"/>
      <c r="AN6" s="282"/>
      <c r="AO6" s="282"/>
      <c r="AP6" s="282"/>
      <c r="AQ6" s="282"/>
      <c r="AR6" s="282"/>
      <c r="AS6" s="282"/>
      <c r="AT6" s="282"/>
      <c r="AU6" s="282"/>
      <c r="AV6" s="282"/>
      <c r="AW6" s="282"/>
      <c r="AX6" s="282"/>
      <c r="AY6" s="282"/>
      <c r="AZ6" s="282"/>
      <c r="BA6" s="282"/>
      <c r="BB6" s="282"/>
      <c r="BC6" s="282"/>
      <c r="BD6" s="282"/>
      <c r="BE6" s="282"/>
      <c r="BF6" s="282"/>
      <c r="BG6" s="282"/>
      <c r="BH6" s="282"/>
      <c r="BI6" s="282"/>
      <c r="BJ6" s="282"/>
      <c r="BK6" s="282"/>
      <c r="BL6" s="282"/>
      <c r="BM6" s="282"/>
      <c r="BN6" s="282"/>
      <c r="BO6" s="282"/>
      <c r="BP6" s="282"/>
      <c r="BQ6" s="282"/>
      <c r="BR6" s="282"/>
      <c r="BS6" s="282"/>
      <c r="BT6" s="282"/>
      <c r="BU6" s="282"/>
      <c r="BV6" s="282"/>
      <c r="BW6" s="282"/>
      <c r="BX6" s="282"/>
      <c r="BY6" s="282"/>
      <c r="BZ6" s="282"/>
      <c r="CA6" s="282"/>
      <c r="CB6" s="282"/>
      <c r="CC6" s="282"/>
      <c r="CD6" s="282"/>
      <c r="CE6" s="282"/>
      <c r="CF6" s="282"/>
      <c r="CG6" s="282"/>
      <c r="CH6" s="282"/>
      <c r="CI6" s="282"/>
      <c r="CJ6" s="282"/>
      <c r="CK6" s="282"/>
      <c r="CL6" s="282"/>
      <c r="CM6" s="282"/>
      <c r="CN6" s="282"/>
      <c r="CO6" s="282"/>
      <c r="CP6" s="282"/>
      <c r="CQ6" s="282"/>
      <c r="CR6" s="282"/>
      <c r="CS6" s="282"/>
      <c r="CT6" s="282"/>
      <c r="CU6" s="282"/>
      <c r="CV6" s="282"/>
      <c r="CW6" s="282"/>
      <c r="CX6" s="282"/>
      <c r="CY6" s="282"/>
      <c r="CZ6" s="282"/>
      <c r="DA6" s="282"/>
      <c r="DB6" s="282"/>
      <c r="DC6" s="282"/>
      <c r="DD6" s="282"/>
      <c r="DE6" s="282"/>
      <c r="DF6" s="282"/>
      <c r="DG6" s="282"/>
      <c r="DH6" s="282"/>
      <c r="DI6" s="282"/>
      <c r="DJ6" s="282"/>
      <c r="DK6" s="282"/>
      <c r="DL6" s="282"/>
      <c r="DM6" s="282"/>
      <c r="DN6" s="282"/>
      <c r="DO6" s="282"/>
      <c r="DP6" s="282"/>
      <c r="DQ6" s="282"/>
      <c r="DR6" s="282"/>
      <c r="DS6" s="282"/>
      <c r="DT6" s="282"/>
      <c r="DU6" s="282"/>
      <c r="DV6" s="282"/>
      <c r="DW6" s="282"/>
      <c r="DX6" s="282"/>
      <c r="DY6" s="282"/>
      <c r="DZ6" s="282"/>
      <c r="EA6" s="282"/>
      <c r="EB6" s="282"/>
      <c r="EC6" s="282"/>
      <c r="ED6" s="282"/>
      <c r="EE6" s="282"/>
      <c r="EF6" s="282"/>
      <c r="EG6" s="282"/>
      <c r="EH6" s="282"/>
      <c r="EI6" s="282"/>
      <c r="EJ6" s="282"/>
      <c r="EK6" s="282"/>
      <c r="EL6" s="282"/>
      <c r="EM6" s="282"/>
      <c r="EN6" s="282"/>
      <c r="EO6" s="282"/>
      <c r="EP6" s="282"/>
      <c r="EQ6" s="282"/>
      <c r="ER6" s="282"/>
      <c r="ES6" s="282"/>
      <c r="ET6" s="282"/>
      <c r="EU6" s="282"/>
    </row>
    <row r="7" spans="1:151" x14ac:dyDescent="0.55000000000000004">
      <c r="A7" s="396" t="s">
        <v>13</v>
      </c>
      <c r="B7" s="370" t="s">
        <v>29</v>
      </c>
      <c r="C7" s="373">
        <v>7453000</v>
      </c>
      <c r="D7" s="376">
        <v>76579.425940000001</v>
      </c>
      <c r="E7" s="373">
        <f>7174*1000</f>
        <v>7174000</v>
      </c>
      <c r="F7" s="376">
        <v>73712.706520000007</v>
      </c>
      <c r="G7" s="371">
        <f>8501*1000</f>
        <v>8501000</v>
      </c>
      <c r="H7" s="376">
        <v>87347.604980000004</v>
      </c>
      <c r="I7" s="371">
        <f>1430*1000</f>
        <v>1430000</v>
      </c>
      <c r="J7" s="376">
        <v>14693.2214</v>
      </c>
      <c r="K7" s="373">
        <v>6997000</v>
      </c>
      <c r="L7" s="350">
        <v>78634.42194</v>
      </c>
      <c r="M7" s="374">
        <v>5927000</v>
      </c>
      <c r="N7" s="375">
        <v>60899.80646</v>
      </c>
      <c r="O7" s="352">
        <v>5744000</v>
      </c>
      <c r="P7" s="375">
        <v>59019.485119999998</v>
      </c>
      <c r="Q7" s="373">
        <v>7776000</v>
      </c>
      <c r="R7" s="375">
        <v>79898.244479999994</v>
      </c>
      <c r="S7" s="583">
        <v>805000</v>
      </c>
      <c r="T7" s="590">
        <v>8271.3588999999993</v>
      </c>
      <c r="U7" s="541">
        <v>688000</v>
      </c>
      <c r="V7" s="739">
        <v>7069.2</v>
      </c>
      <c r="W7" s="50">
        <v>4981000</v>
      </c>
      <c r="X7" s="544">
        <v>51180</v>
      </c>
      <c r="Y7" s="282"/>
      <c r="Z7" s="282"/>
      <c r="AA7" s="282"/>
      <c r="AB7" s="282"/>
      <c r="AC7" s="282"/>
      <c r="AD7" s="282"/>
      <c r="AE7" s="282"/>
      <c r="AF7" s="282"/>
      <c r="AG7" s="282"/>
      <c r="AH7" s="282"/>
      <c r="AI7" s="282"/>
      <c r="AJ7" s="282"/>
      <c r="AK7" s="282"/>
      <c r="AL7" s="282"/>
      <c r="AM7" s="282"/>
      <c r="AN7" s="282"/>
      <c r="AO7" s="282"/>
      <c r="AP7" s="282"/>
      <c r="AQ7" s="282"/>
      <c r="AR7" s="282"/>
      <c r="AS7" s="282"/>
      <c r="AT7" s="282"/>
      <c r="AU7" s="282"/>
      <c r="AV7" s="282"/>
      <c r="AW7" s="282"/>
      <c r="AX7" s="282"/>
      <c r="AY7" s="282"/>
      <c r="AZ7" s="282"/>
      <c r="BA7" s="282"/>
      <c r="BB7" s="282"/>
      <c r="BC7" s="282"/>
      <c r="BD7" s="282"/>
      <c r="BE7" s="282"/>
      <c r="BF7" s="282"/>
      <c r="BG7" s="282"/>
      <c r="BH7" s="282"/>
      <c r="BI7" s="282"/>
      <c r="BJ7" s="282"/>
      <c r="BK7" s="282"/>
      <c r="BL7" s="282"/>
      <c r="BM7" s="282"/>
      <c r="BN7" s="282"/>
      <c r="BO7" s="282"/>
      <c r="BP7" s="282"/>
      <c r="BQ7" s="282"/>
      <c r="BR7" s="282"/>
      <c r="BS7" s="282"/>
      <c r="BT7" s="282"/>
      <c r="BU7" s="282"/>
      <c r="BV7" s="282"/>
      <c r="BW7" s="282"/>
      <c r="BX7" s="282"/>
      <c r="BY7" s="282"/>
      <c r="BZ7" s="282"/>
      <c r="CA7" s="282"/>
      <c r="CB7" s="282"/>
      <c r="CC7" s="282"/>
      <c r="CD7" s="282"/>
      <c r="CE7" s="282"/>
      <c r="CF7" s="282"/>
      <c r="CG7" s="282"/>
      <c r="CH7" s="282"/>
      <c r="CI7" s="282"/>
      <c r="CJ7" s="282"/>
      <c r="CK7" s="282"/>
      <c r="CL7" s="282"/>
      <c r="CM7" s="282"/>
      <c r="CN7" s="282"/>
      <c r="CO7" s="282"/>
      <c r="CP7" s="282"/>
      <c r="CQ7" s="282"/>
      <c r="CR7" s="282"/>
      <c r="CS7" s="282"/>
      <c r="CT7" s="282"/>
      <c r="CU7" s="282"/>
      <c r="CV7" s="282"/>
      <c r="CW7" s="282"/>
      <c r="CX7" s="282"/>
      <c r="CY7" s="282"/>
      <c r="CZ7" s="282"/>
      <c r="DA7" s="282"/>
      <c r="DB7" s="282"/>
      <c r="DC7" s="282"/>
      <c r="DD7" s="282"/>
      <c r="DE7" s="282"/>
      <c r="DF7" s="282"/>
      <c r="DG7" s="282"/>
      <c r="DH7" s="282"/>
      <c r="DI7" s="282"/>
      <c r="DJ7" s="282"/>
      <c r="DK7" s="282"/>
      <c r="DL7" s="282"/>
      <c r="DM7" s="282"/>
      <c r="DN7" s="282"/>
      <c r="DO7" s="282"/>
      <c r="DP7" s="282"/>
      <c r="DQ7" s="282"/>
      <c r="DR7" s="282"/>
      <c r="DS7" s="282"/>
      <c r="DT7" s="282"/>
      <c r="DU7" s="282"/>
      <c r="DV7" s="282"/>
      <c r="DW7" s="282"/>
      <c r="DX7" s="282"/>
      <c r="DY7" s="282"/>
      <c r="DZ7" s="282"/>
      <c r="EA7" s="282"/>
      <c r="EB7" s="282"/>
      <c r="EC7" s="282"/>
      <c r="ED7" s="282"/>
      <c r="EE7" s="282"/>
      <c r="EF7" s="282"/>
      <c r="EG7" s="282"/>
      <c r="EH7" s="282"/>
      <c r="EI7" s="282"/>
      <c r="EJ7" s="282"/>
      <c r="EK7" s="282"/>
      <c r="EL7" s="282"/>
      <c r="EM7" s="282"/>
      <c r="EN7" s="282"/>
      <c r="EO7" s="282"/>
      <c r="EP7" s="282"/>
      <c r="EQ7" s="282"/>
      <c r="ER7" s="282"/>
      <c r="ES7" s="282"/>
      <c r="ET7" s="282"/>
      <c r="EU7" s="282"/>
    </row>
    <row r="8" spans="1:151" s="277" customFormat="1" x14ac:dyDescent="0.55000000000000004">
      <c r="A8" s="399" t="s">
        <v>146</v>
      </c>
      <c r="B8" s="400"/>
      <c r="C8" s="401"/>
      <c r="D8" s="404">
        <f>SUM(D5:D7)</f>
        <v>1653098.1026399999</v>
      </c>
      <c r="E8" s="401"/>
      <c r="F8" s="404">
        <f>SUM(F5:F7)</f>
        <v>1745006.3020200001</v>
      </c>
      <c r="G8" s="402"/>
      <c r="H8" s="404">
        <f>SUM(H5:H7)</f>
        <v>1640344.8569799999</v>
      </c>
      <c r="I8" s="402"/>
      <c r="J8" s="404">
        <f>SUM(J5:J7)</f>
        <v>1537512.6482999998</v>
      </c>
      <c r="K8" s="402"/>
      <c r="L8" s="404">
        <f>SUM(L5:L7)</f>
        <v>1339137.0689399999</v>
      </c>
      <c r="M8" s="402"/>
      <c r="N8" s="404">
        <f t="shared" ref="N8:P8" si="0">SUM(N5:N7)</f>
        <v>1586519.7005600003</v>
      </c>
      <c r="O8" s="402"/>
      <c r="P8" s="404">
        <f t="shared" si="0"/>
        <v>1494563.7348200001</v>
      </c>
      <c r="Q8" s="402"/>
      <c r="R8" s="404">
        <f>SUM(R5:R7)</f>
        <v>1633252.3627800001</v>
      </c>
      <c r="S8" s="598"/>
      <c r="T8" s="599">
        <f>SUM(T5:T7)</f>
        <v>1347843.3055</v>
      </c>
      <c r="U8" s="598"/>
      <c r="V8" s="599">
        <f>SUM(V5:V7)</f>
        <v>1273643.2</v>
      </c>
      <c r="W8" s="716"/>
      <c r="X8" s="729">
        <f>SUM(X5:X7)</f>
        <v>1608644</v>
      </c>
      <c r="Y8" s="282"/>
      <c r="Z8" s="282"/>
      <c r="AA8" s="282"/>
      <c r="AB8" s="282"/>
      <c r="AC8" s="282"/>
      <c r="AD8" s="282"/>
      <c r="AE8" s="282"/>
      <c r="AF8" s="282"/>
      <c r="AG8" s="282"/>
      <c r="AH8" s="282"/>
      <c r="AI8" s="282"/>
      <c r="AJ8" s="282"/>
      <c r="AK8" s="282"/>
      <c r="AL8" s="282"/>
      <c r="AM8" s="282"/>
      <c r="AN8" s="282"/>
      <c r="AO8" s="282"/>
      <c r="AP8" s="282"/>
      <c r="AQ8" s="282"/>
      <c r="AR8" s="282"/>
      <c r="AS8" s="282"/>
      <c r="AT8" s="282"/>
      <c r="AU8" s="282"/>
      <c r="AV8" s="282"/>
      <c r="AW8" s="282"/>
      <c r="AX8" s="282"/>
      <c r="AY8" s="282"/>
      <c r="AZ8" s="282"/>
      <c r="BA8" s="282"/>
      <c r="BB8" s="282"/>
      <c r="BC8" s="282"/>
      <c r="BD8" s="282"/>
      <c r="BE8" s="282"/>
      <c r="BF8" s="282"/>
      <c r="BG8" s="282"/>
      <c r="BH8" s="282"/>
      <c r="BI8" s="282"/>
      <c r="BJ8" s="282"/>
      <c r="BK8" s="282"/>
      <c r="BL8" s="282"/>
      <c r="BM8" s="282"/>
      <c r="BN8" s="282"/>
      <c r="BO8" s="282"/>
      <c r="BP8" s="282"/>
      <c r="BQ8" s="282"/>
      <c r="BR8" s="282"/>
      <c r="BS8" s="282"/>
      <c r="BT8" s="282"/>
      <c r="BU8" s="282"/>
      <c r="BV8" s="282"/>
      <c r="BW8" s="282"/>
      <c r="BX8" s="282"/>
      <c r="BY8" s="282"/>
      <c r="BZ8" s="282"/>
      <c r="CA8" s="282"/>
      <c r="CB8" s="282"/>
      <c r="CC8" s="282"/>
      <c r="CD8" s="282"/>
      <c r="CE8" s="282"/>
      <c r="CF8" s="282"/>
      <c r="CG8" s="282"/>
      <c r="CH8" s="282"/>
      <c r="CI8" s="282"/>
      <c r="CJ8" s="282"/>
      <c r="CK8" s="282"/>
      <c r="CL8" s="282"/>
      <c r="CM8" s="282"/>
      <c r="CN8" s="282"/>
      <c r="CO8" s="282"/>
      <c r="CP8" s="282"/>
      <c r="CQ8" s="282"/>
      <c r="CR8" s="282"/>
      <c r="CS8" s="282"/>
      <c r="CT8" s="282"/>
      <c r="CU8" s="282"/>
      <c r="CV8" s="282"/>
      <c r="CW8" s="282"/>
      <c r="CX8" s="282"/>
      <c r="CY8" s="282"/>
      <c r="CZ8" s="282"/>
      <c r="DA8" s="282"/>
      <c r="DB8" s="282"/>
      <c r="DC8" s="282"/>
      <c r="DD8" s="282"/>
      <c r="DE8" s="282"/>
      <c r="DF8" s="282"/>
      <c r="DG8" s="282"/>
      <c r="DH8" s="282"/>
      <c r="DI8" s="282"/>
      <c r="DJ8" s="282"/>
      <c r="DK8" s="282"/>
      <c r="DL8" s="282"/>
      <c r="DM8" s="282"/>
      <c r="DN8" s="282"/>
      <c r="DO8" s="282"/>
      <c r="DP8" s="282"/>
      <c r="DQ8" s="282"/>
      <c r="DR8" s="282"/>
      <c r="DS8" s="282"/>
      <c r="DT8" s="282"/>
      <c r="DU8" s="282"/>
      <c r="DV8" s="282"/>
      <c r="DW8" s="282"/>
      <c r="DX8" s="282"/>
      <c r="DY8" s="282"/>
      <c r="DZ8" s="282"/>
      <c r="EA8" s="282"/>
      <c r="EB8" s="282"/>
      <c r="EC8" s="282"/>
      <c r="ED8" s="282"/>
      <c r="EE8" s="282"/>
      <c r="EF8" s="282"/>
      <c r="EG8" s="282"/>
      <c r="EH8" s="282"/>
      <c r="EI8" s="282"/>
      <c r="EJ8" s="282"/>
      <c r="EK8" s="282"/>
      <c r="EL8" s="282"/>
      <c r="EM8" s="282"/>
      <c r="EN8" s="282"/>
      <c r="EO8" s="282"/>
      <c r="EP8" s="282"/>
      <c r="EQ8" s="282"/>
      <c r="ER8" s="282"/>
      <c r="ES8" s="282"/>
      <c r="ET8" s="282"/>
      <c r="EU8" s="282"/>
    </row>
    <row r="9" spans="1:151" x14ac:dyDescent="0.55000000000000004">
      <c r="A9" s="395" t="s">
        <v>9</v>
      </c>
      <c r="B9" s="370"/>
      <c r="C9" s="349"/>
      <c r="D9" s="376"/>
      <c r="E9" s="373"/>
      <c r="F9" s="376"/>
      <c r="G9" s="372"/>
      <c r="H9" s="376"/>
      <c r="I9" s="371"/>
      <c r="J9" s="376"/>
      <c r="K9" s="373"/>
      <c r="L9" s="375"/>
      <c r="M9" s="373"/>
      <c r="N9" s="375"/>
      <c r="O9" s="373"/>
      <c r="P9" s="375"/>
      <c r="Q9" s="373"/>
      <c r="R9" s="375"/>
      <c r="S9" s="583"/>
      <c r="T9" s="585"/>
      <c r="U9" s="541"/>
      <c r="V9" s="739"/>
      <c r="W9" s="50"/>
      <c r="X9" s="544"/>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2"/>
      <c r="BB9" s="282"/>
      <c r="BC9" s="282"/>
      <c r="BD9" s="282"/>
      <c r="BE9" s="282"/>
      <c r="BF9" s="282"/>
      <c r="BG9" s="282"/>
      <c r="BH9" s="282"/>
      <c r="BI9" s="282"/>
      <c r="BJ9" s="282"/>
      <c r="BK9" s="282"/>
      <c r="BL9" s="282"/>
      <c r="BM9" s="282"/>
      <c r="BN9" s="282"/>
      <c r="BO9" s="282"/>
      <c r="BP9" s="282"/>
      <c r="BQ9" s="282"/>
      <c r="BR9" s="282"/>
      <c r="BS9" s="282"/>
      <c r="BT9" s="282"/>
      <c r="BU9" s="282"/>
      <c r="BV9" s="282"/>
      <c r="BW9" s="282"/>
      <c r="BX9" s="282"/>
      <c r="BY9" s="282"/>
      <c r="BZ9" s="282"/>
      <c r="CA9" s="282"/>
      <c r="CB9" s="282"/>
      <c r="CC9" s="282"/>
      <c r="CD9" s="282"/>
      <c r="CE9" s="282"/>
      <c r="CF9" s="282"/>
      <c r="CG9" s="282"/>
      <c r="CH9" s="282"/>
      <c r="CI9" s="282"/>
      <c r="CJ9" s="282"/>
      <c r="CK9" s="282"/>
      <c r="CL9" s="282"/>
      <c r="CM9" s="282"/>
      <c r="CN9" s="282"/>
      <c r="CO9" s="282"/>
      <c r="CP9" s="282"/>
      <c r="CQ9" s="282"/>
      <c r="CR9" s="282"/>
      <c r="CS9" s="282"/>
      <c r="CT9" s="282"/>
      <c r="CU9" s="282"/>
      <c r="CV9" s="282"/>
      <c r="CW9" s="282"/>
      <c r="CX9" s="282"/>
      <c r="CY9" s="282"/>
      <c r="CZ9" s="282"/>
      <c r="DA9" s="282"/>
      <c r="DB9" s="282"/>
      <c r="DC9" s="282"/>
      <c r="DD9" s="282"/>
      <c r="DE9" s="282"/>
      <c r="DF9" s="282"/>
      <c r="DG9" s="282"/>
      <c r="DH9" s="282"/>
      <c r="DI9" s="282"/>
      <c r="DJ9" s="282"/>
      <c r="DK9" s="282"/>
      <c r="DL9" s="282"/>
      <c r="DM9" s="282"/>
      <c r="DN9" s="282"/>
      <c r="DO9" s="282"/>
      <c r="DP9" s="282"/>
      <c r="DQ9" s="282"/>
      <c r="DR9" s="282"/>
      <c r="DS9" s="282"/>
      <c r="DT9" s="282"/>
      <c r="DU9" s="282"/>
      <c r="DV9" s="282"/>
      <c r="DW9" s="282"/>
      <c r="DX9" s="282"/>
      <c r="DY9" s="282"/>
      <c r="DZ9" s="282"/>
      <c r="EA9" s="282"/>
      <c r="EB9" s="282"/>
      <c r="EC9" s="282"/>
      <c r="ED9" s="282"/>
      <c r="EE9" s="282"/>
      <c r="EF9" s="282"/>
      <c r="EG9" s="282"/>
      <c r="EH9" s="282"/>
      <c r="EI9" s="282"/>
      <c r="EJ9" s="282"/>
      <c r="EK9" s="282"/>
      <c r="EL9" s="282"/>
      <c r="EM9" s="282"/>
      <c r="EN9" s="282"/>
      <c r="EO9" s="282"/>
      <c r="EP9" s="282"/>
      <c r="EQ9" s="282"/>
      <c r="ER9" s="282"/>
      <c r="ES9" s="282"/>
      <c r="ET9" s="282"/>
      <c r="EU9" s="282"/>
    </row>
    <row r="10" spans="1:151" x14ac:dyDescent="0.55000000000000004">
      <c r="A10" s="396" t="s">
        <v>11</v>
      </c>
      <c r="B10" s="370" t="s">
        <v>27</v>
      </c>
      <c r="C10" s="373">
        <v>174276795</v>
      </c>
      <c r="D10" s="376">
        <v>926917</v>
      </c>
      <c r="E10" s="373">
        <v>155964441</v>
      </c>
      <c r="F10" s="376">
        <v>829520</v>
      </c>
      <c r="G10" s="371">
        <v>126865193</v>
      </c>
      <c r="H10" s="376">
        <v>674752</v>
      </c>
      <c r="I10" s="371">
        <v>126251704</v>
      </c>
      <c r="J10" s="376">
        <v>671489</v>
      </c>
      <c r="K10" s="373">
        <v>111697940</v>
      </c>
      <c r="L10" s="375">
        <v>594082</v>
      </c>
      <c r="M10" s="373">
        <v>128961354</v>
      </c>
      <c r="N10" s="375">
        <v>685900</v>
      </c>
      <c r="O10" s="373">
        <v>132055699</v>
      </c>
      <c r="P10" s="375">
        <v>702358</v>
      </c>
      <c r="Q10" s="373">
        <v>124063282</v>
      </c>
      <c r="R10" s="375">
        <v>659849</v>
      </c>
      <c r="S10" s="583">
        <v>110484087</v>
      </c>
      <c r="T10" s="585">
        <v>587626</v>
      </c>
      <c r="U10" s="541">
        <v>141996465.80248201</v>
      </c>
      <c r="V10" s="739">
        <v>755230</v>
      </c>
      <c r="W10" s="50">
        <v>156438401.71407449</v>
      </c>
      <c r="X10" s="544">
        <v>832041</v>
      </c>
      <c r="Y10" s="282"/>
      <c r="Z10" s="282"/>
      <c r="AA10" s="282"/>
      <c r="AB10" s="282"/>
      <c r="AC10" s="282"/>
      <c r="AD10" s="282"/>
      <c r="AE10" s="282"/>
      <c r="AF10" s="282"/>
      <c r="AG10" s="282"/>
      <c r="AH10" s="282"/>
      <c r="AI10" s="282"/>
      <c r="AJ10" s="282"/>
      <c r="AK10" s="282"/>
      <c r="AL10" s="282"/>
      <c r="AM10" s="282"/>
      <c r="AN10" s="282"/>
      <c r="AO10" s="282"/>
      <c r="AP10" s="282"/>
      <c r="AQ10" s="282"/>
      <c r="AR10" s="282"/>
      <c r="AS10" s="282"/>
      <c r="AT10" s="282"/>
      <c r="AU10" s="282"/>
      <c r="AV10" s="282"/>
      <c r="AW10" s="282"/>
      <c r="AX10" s="282"/>
      <c r="AY10" s="282"/>
      <c r="AZ10" s="282"/>
      <c r="BA10" s="282"/>
      <c r="BB10" s="282"/>
      <c r="BC10" s="282"/>
      <c r="BD10" s="282"/>
      <c r="BE10" s="282"/>
      <c r="BF10" s="282"/>
      <c r="BG10" s="282"/>
      <c r="BH10" s="282"/>
      <c r="BI10" s="282"/>
      <c r="BJ10" s="282"/>
      <c r="BK10" s="282"/>
      <c r="BL10" s="282"/>
      <c r="BM10" s="282"/>
      <c r="BN10" s="282"/>
      <c r="BO10" s="282"/>
      <c r="BP10" s="282"/>
      <c r="BQ10" s="282"/>
      <c r="BR10" s="282"/>
      <c r="BS10" s="282"/>
      <c r="BT10" s="282"/>
      <c r="BU10" s="282"/>
      <c r="BV10" s="282"/>
      <c r="BW10" s="282"/>
      <c r="BX10" s="282"/>
      <c r="BY10" s="282"/>
      <c r="BZ10" s="282"/>
      <c r="CA10" s="282"/>
      <c r="CB10" s="282"/>
      <c r="CC10" s="282"/>
      <c r="CD10" s="282"/>
      <c r="CE10" s="282"/>
      <c r="CF10" s="282"/>
      <c r="CG10" s="282"/>
      <c r="CH10" s="282"/>
      <c r="CI10" s="282"/>
      <c r="CJ10" s="282"/>
      <c r="CK10" s="282"/>
      <c r="CL10" s="282"/>
      <c r="CM10" s="282"/>
      <c r="CN10" s="282"/>
      <c r="CO10" s="282"/>
      <c r="CP10" s="282"/>
      <c r="CQ10" s="282"/>
      <c r="CR10" s="282"/>
      <c r="CS10" s="282"/>
      <c r="CT10" s="282"/>
      <c r="CU10" s="282"/>
      <c r="CV10" s="282"/>
      <c r="CW10" s="282"/>
      <c r="CX10" s="282"/>
      <c r="CY10" s="282"/>
      <c r="CZ10" s="282"/>
      <c r="DA10" s="282"/>
      <c r="DB10" s="282"/>
      <c r="DC10" s="282"/>
      <c r="DD10" s="282"/>
      <c r="DE10" s="282"/>
      <c r="DF10" s="282"/>
      <c r="DG10" s="282"/>
      <c r="DH10" s="282"/>
      <c r="DI10" s="282"/>
      <c r="DJ10" s="282"/>
      <c r="DK10" s="282"/>
      <c r="DL10" s="282"/>
      <c r="DM10" s="282"/>
      <c r="DN10" s="282"/>
      <c r="DO10" s="282"/>
      <c r="DP10" s="282"/>
      <c r="DQ10" s="282"/>
      <c r="DR10" s="282"/>
      <c r="DS10" s="282"/>
      <c r="DT10" s="282"/>
      <c r="DU10" s="282"/>
      <c r="DV10" s="282"/>
      <c r="DW10" s="282"/>
      <c r="DX10" s="282"/>
      <c r="DY10" s="282"/>
      <c r="DZ10" s="282"/>
      <c r="EA10" s="282"/>
      <c r="EB10" s="282"/>
      <c r="EC10" s="282"/>
      <c r="ED10" s="282"/>
      <c r="EE10" s="282"/>
      <c r="EF10" s="282"/>
      <c r="EG10" s="282"/>
      <c r="EH10" s="282"/>
      <c r="EI10" s="282"/>
      <c r="EJ10" s="282"/>
      <c r="EK10" s="282"/>
      <c r="EL10" s="282"/>
      <c r="EM10" s="282"/>
      <c r="EN10" s="282"/>
      <c r="EO10" s="282"/>
      <c r="EP10" s="282"/>
      <c r="EQ10" s="282"/>
      <c r="ER10" s="282"/>
      <c r="ES10" s="282"/>
      <c r="ET10" s="282"/>
      <c r="EU10" s="282"/>
    </row>
    <row r="11" spans="1:151" x14ac:dyDescent="0.55000000000000004">
      <c r="A11" s="396" t="s">
        <v>12</v>
      </c>
      <c r="B11" s="370" t="s">
        <v>28</v>
      </c>
      <c r="C11" s="373">
        <v>8868544055</v>
      </c>
      <c r="D11" s="376">
        <v>4605501.4790000003</v>
      </c>
      <c r="E11" s="373">
        <v>7474300868</v>
      </c>
      <c r="F11" s="376">
        <v>3228016.7710000002</v>
      </c>
      <c r="G11" s="371">
        <v>8962725502</v>
      </c>
      <c r="H11" s="376">
        <v>4092018.3080000002</v>
      </c>
      <c r="I11" s="371">
        <v>8788054820</v>
      </c>
      <c r="J11" s="376">
        <v>4012270.7319999998</v>
      </c>
      <c r="K11" s="373">
        <v>8429127614</v>
      </c>
      <c r="L11" s="387">
        <v>3297084.071</v>
      </c>
      <c r="M11" s="373">
        <f>8763938273-M25</f>
        <v>8411228939</v>
      </c>
      <c r="N11" s="585">
        <v>3290100</v>
      </c>
      <c r="O11" s="559">
        <v>8015554565</v>
      </c>
      <c r="P11" s="585">
        <v>3033800</v>
      </c>
      <c r="Q11" s="373">
        <v>8032088919</v>
      </c>
      <c r="R11" s="585">
        <v>3040100</v>
      </c>
      <c r="S11" s="558">
        <v>8984198146</v>
      </c>
      <c r="T11" s="585">
        <v>3105200</v>
      </c>
      <c r="U11" s="50">
        <v>8968702143</v>
      </c>
      <c r="V11" s="544">
        <f>3099900-39</f>
        <v>3099861</v>
      </c>
      <c r="W11" s="50">
        <v>8014553392</v>
      </c>
      <c r="X11" s="544">
        <v>2616700</v>
      </c>
      <c r="Y11" s="282"/>
      <c r="Z11" s="282"/>
      <c r="AA11" s="282"/>
      <c r="AB11" s="282"/>
      <c r="AC11" s="282"/>
      <c r="AD11" s="282"/>
      <c r="AE11" s="282"/>
      <c r="AF11" s="282"/>
      <c r="AG11" s="282"/>
      <c r="AH11" s="282"/>
      <c r="AI11" s="282"/>
      <c r="AJ11" s="282"/>
      <c r="AK11" s="282"/>
      <c r="AL11" s="282"/>
      <c r="AM11" s="282"/>
      <c r="AN11" s="282"/>
      <c r="AO11" s="282"/>
      <c r="AP11" s="282"/>
      <c r="AQ11" s="282"/>
      <c r="AR11" s="282"/>
      <c r="AS11" s="282"/>
      <c r="AT11" s="282"/>
      <c r="AU11" s="282"/>
      <c r="AV11" s="282"/>
      <c r="AW11" s="282"/>
      <c r="AX11" s="282"/>
      <c r="AY11" s="282"/>
      <c r="AZ11" s="282"/>
      <c r="BA11" s="282"/>
      <c r="BB11" s="282"/>
      <c r="BC11" s="282"/>
      <c r="BD11" s="282"/>
      <c r="BE11" s="282"/>
      <c r="BF11" s="282"/>
      <c r="BG11" s="282"/>
      <c r="BH11" s="282"/>
      <c r="BI11" s="282"/>
      <c r="BJ11" s="282"/>
      <c r="BK11" s="282"/>
      <c r="BL11" s="282"/>
      <c r="BM11" s="282"/>
      <c r="BN11" s="282"/>
      <c r="BO11" s="282"/>
      <c r="BP11" s="282"/>
      <c r="BQ11" s="282"/>
      <c r="BR11" s="282"/>
      <c r="BS11" s="282"/>
      <c r="BT11" s="282"/>
      <c r="BU11" s="282"/>
      <c r="BV11" s="282"/>
      <c r="BW11" s="282"/>
      <c r="BX11" s="282"/>
      <c r="BY11" s="282"/>
      <c r="BZ11" s="282"/>
      <c r="CA11" s="282"/>
      <c r="CB11" s="282"/>
      <c r="CC11" s="282"/>
      <c r="CD11" s="282"/>
      <c r="CE11" s="282"/>
      <c r="CF11" s="282"/>
      <c r="CG11" s="282"/>
      <c r="CH11" s="282"/>
      <c r="CI11" s="282"/>
      <c r="CJ11" s="282"/>
      <c r="CK11" s="282"/>
      <c r="CL11" s="282"/>
      <c r="CM11" s="282"/>
      <c r="CN11" s="282"/>
      <c r="CO11" s="282"/>
      <c r="CP11" s="282"/>
      <c r="CQ11" s="282"/>
      <c r="CR11" s="282"/>
      <c r="CS11" s="282"/>
      <c r="CT11" s="282"/>
      <c r="CU11" s="282"/>
      <c r="CV11" s="282"/>
      <c r="CW11" s="282"/>
      <c r="CX11" s="282"/>
      <c r="CY11" s="282"/>
      <c r="CZ11" s="282"/>
      <c r="DA11" s="282"/>
      <c r="DB11" s="282"/>
      <c r="DC11" s="282"/>
      <c r="DD11" s="282"/>
      <c r="DE11" s="282"/>
      <c r="DF11" s="282"/>
      <c r="DG11" s="282"/>
      <c r="DH11" s="282"/>
      <c r="DI11" s="282"/>
      <c r="DJ11" s="282"/>
      <c r="DK11" s="282"/>
      <c r="DL11" s="282"/>
      <c r="DM11" s="282"/>
      <c r="DN11" s="282"/>
      <c r="DO11" s="282"/>
      <c r="DP11" s="282"/>
      <c r="DQ11" s="282"/>
      <c r="DR11" s="282"/>
      <c r="DS11" s="282"/>
      <c r="DT11" s="282"/>
      <c r="DU11" s="282"/>
      <c r="DV11" s="282"/>
      <c r="DW11" s="282"/>
      <c r="DX11" s="282"/>
      <c r="DY11" s="282"/>
      <c r="DZ11" s="282"/>
      <c r="EA11" s="282"/>
      <c r="EB11" s="282"/>
      <c r="EC11" s="282"/>
      <c r="ED11" s="282"/>
      <c r="EE11" s="282"/>
      <c r="EF11" s="282"/>
      <c r="EG11" s="282"/>
      <c r="EH11" s="282"/>
      <c r="EI11" s="282"/>
      <c r="EJ11" s="282"/>
      <c r="EK11" s="282"/>
      <c r="EL11" s="282"/>
      <c r="EM11" s="282"/>
      <c r="EN11" s="282"/>
      <c r="EO11" s="282"/>
      <c r="EP11" s="282"/>
      <c r="EQ11" s="282"/>
      <c r="ER11" s="282"/>
      <c r="ES11" s="282"/>
      <c r="ET11" s="282"/>
      <c r="EU11" s="282"/>
    </row>
    <row r="12" spans="1:151" s="282" customFormat="1" x14ac:dyDescent="0.55000000000000004">
      <c r="A12" s="397" t="s">
        <v>13</v>
      </c>
      <c r="B12" s="393" t="s">
        <v>29</v>
      </c>
      <c r="C12" s="373">
        <f>15913*1000</f>
        <v>15913000</v>
      </c>
      <c r="D12" s="375">
        <v>163505.7567</v>
      </c>
      <c r="E12" s="352">
        <f>1000*13267</f>
        <v>13267000</v>
      </c>
      <c r="F12" s="375">
        <v>136318.15969999999</v>
      </c>
      <c r="G12" s="371">
        <f>7694*1000</f>
        <v>7694000</v>
      </c>
      <c r="H12" s="375">
        <v>79055.696119999993</v>
      </c>
      <c r="I12" s="374">
        <f>1000*5607</f>
        <v>5607000</v>
      </c>
      <c r="J12" s="387">
        <v>57611.812859999998</v>
      </c>
      <c r="K12" s="352">
        <f>1000*6243</f>
        <v>6243000</v>
      </c>
      <c r="L12" s="387">
        <v>64146.700140000001</v>
      </c>
      <c r="M12" s="352">
        <f>1000*5319</f>
        <v>5319000</v>
      </c>
      <c r="N12" s="375">
        <v>55425.502619999999</v>
      </c>
      <c r="O12" s="352">
        <v>4868969</v>
      </c>
      <c r="P12" s="375">
        <v>50028.559099999999</v>
      </c>
      <c r="Q12" s="352">
        <v>5391910</v>
      </c>
      <c r="R12" s="375">
        <v>55401.76741</v>
      </c>
      <c r="S12" s="584">
        <v>6454000</v>
      </c>
      <c r="T12" s="585">
        <v>66314.720920000007</v>
      </c>
      <c r="U12" s="542">
        <v>3452000</v>
      </c>
      <c r="V12" s="739">
        <v>35469</v>
      </c>
      <c r="W12" s="50">
        <v>4706000</v>
      </c>
      <c r="X12" s="544">
        <v>48354</v>
      </c>
    </row>
    <row r="13" spans="1:151" x14ac:dyDescent="0.55000000000000004">
      <c r="A13" s="396" t="s">
        <v>33</v>
      </c>
      <c r="B13" s="370" t="s">
        <v>29</v>
      </c>
      <c r="C13" s="373">
        <v>115000</v>
      </c>
      <c r="D13" s="376">
        <v>1175.3575000000001</v>
      </c>
      <c r="E13" s="373">
        <v>5000</v>
      </c>
      <c r="F13" s="376">
        <v>378.537037</v>
      </c>
      <c r="G13" s="371">
        <v>4000</v>
      </c>
      <c r="H13" s="376">
        <v>40.881999999999998</v>
      </c>
      <c r="I13" s="371">
        <v>15000</v>
      </c>
      <c r="J13" s="376">
        <v>153.3075</v>
      </c>
      <c r="K13" s="382" t="s">
        <v>95</v>
      </c>
      <c r="L13" s="471" t="s">
        <v>95</v>
      </c>
      <c r="M13" s="373">
        <v>1000</v>
      </c>
      <c r="N13" s="376">
        <v>10.220499999999999</v>
      </c>
      <c r="O13" s="373">
        <v>3000</v>
      </c>
      <c r="P13" s="375">
        <v>30.6615</v>
      </c>
      <c r="Q13" s="377" t="s">
        <v>95</v>
      </c>
      <c r="R13" s="383" t="s">
        <v>95</v>
      </c>
      <c r="S13" s="583">
        <v>14000</v>
      </c>
      <c r="T13" s="585">
        <v>143.08699999999999</v>
      </c>
      <c r="U13" s="541">
        <v>1000</v>
      </c>
      <c r="V13" s="739">
        <v>10.221</v>
      </c>
      <c r="W13" s="50">
        <v>0</v>
      </c>
      <c r="X13" s="544">
        <v>0</v>
      </c>
      <c r="Y13" s="282"/>
      <c r="Z13" s="282"/>
      <c r="AA13" s="282"/>
      <c r="AB13" s="282"/>
      <c r="AC13" s="282"/>
      <c r="AD13" s="282"/>
      <c r="AE13" s="282"/>
      <c r="AF13" s="282"/>
      <c r="AG13" s="282"/>
      <c r="AH13" s="282"/>
      <c r="AI13" s="282"/>
      <c r="AJ13" s="282"/>
      <c r="AK13" s="282"/>
      <c r="AL13" s="282"/>
      <c r="AM13" s="282"/>
      <c r="AN13" s="282"/>
      <c r="AO13" s="282"/>
      <c r="AP13" s="282"/>
      <c r="AQ13" s="282"/>
      <c r="AR13" s="282"/>
      <c r="AS13" s="282"/>
      <c r="AT13" s="282"/>
      <c r="AU13" s="282"/>
      <c r="AV13" s="282"/>
      <c r="AW13" s="282"/>
      <c r="AX13" s="282"/>
      <c r="AY13" s="282"/>
      <c r="AZ13" s="282"/>
      <c r="BA13" s="282"/>
      <c r="BB13" s="282"/>
      <c r="BC13" s="282"/>
      <c r="BD13" s="282"/>
      <c r="BE13" s="282"/>
      <c r="BF13" s="282"/>
      <c r="BG13" s="282"/>
      <c r="BH13" s="282"/>
      <c r="BI13" s="282"/>
      <c r="BJ13" s="282"/>
      <c r="BK13" s="282"/>
      <c r="BL13" s="282"/>
      <c r="BM13" s="282"/>
      <c r="BN13" s="282"/>
      <c r="BO13" s="282"/>
      <c r="BP13" s="282"/>
      <c r="BQ13" s="282"/>
      <c r="BR13" s="282"/>
      <c r="BS13" s="282"/>
      <c r="BT13" s="282"/>
      <c r="BU13" s="282"/>
      <c r="BV13" s="282"/>
      <c r="BW13" s="282"/>
      <c r="BX13" s="282"/>
      <c r="BY13" s="282"/>
      <c r="BZ13" s="282"/>
      <c r="CA13" s="282"/>
      <c r="CB13" s="282"/>
      <c r="CC13" s="282"/>
      <c r="CD13" s="282"/>
      <c r="CE13" s="282"/>
      <c r="CF13" s="282"/>
      <c r="CG13" s="282"/>
      <c r="CH13" s="282"/>
      <c r="CI13" s="282"/>
      <c r="CJ13" s="282"/>
      <c r="CK13" s="282"/>
      <c r="CL13" s="282"/>
      <c r="CM13" s="282"/>
      <c r="CN13" s="282"/>
      <c r="CO13" s="282"/>
      <c r="CP13" s="282"/>
      <c r="CQ13" s="282"/>
      <c r="CR13" s="282"/>
      <c r="CS13" s="282"/>
      <c r="CT13" s="282"/>
      <c r="CU13" s="282"/>
      <c r="CV13" s="282"/>
      <c r="CW13" s="282"/>
      <c r="CX13" s="282"/>
      <c r="CY13" s="282"/>
      <c r="CZ13" s="282"/>
      <c r="DA13" s="282"/>
      <c r="DB13" s="282"/>
      <c r="DC13" s="282"/>
      <c r="DD13" s="282"/>
      <c r="DE13" s="282"/>
      <c r="DF13" s="282"/>
      <c r="DG13" s="282"/>
      <c r="DH13" s="282"/>
      <c r="DI13" s="282"/>
      <c r="DJ13" s="282"/>
      <c r="DK13" s="282"/>
      <c r="DL13" s="282"/>
      <c r="DM13" s="282"/>
      <c r="DN13" s="282"/>
      <c r="DO13" s="282"/>
      <c r="DP13" s="282"/>
      <c r="DQ13" s="282"/>
      <c r="DR13" s="282"/>
      <c r="DS13" s="282"/>
      <c r="DT13" s="282"/>
      <c r="DU13" s="282"/>
      <c r="DV13" s="282"/>
      <c r="DW13" s="282"/>
      <c r="DX13" s="282"/>
      <c r="DY13" s="282"/>
      <c r="DZ13" s="282"/>
      <c r="EA13" s="282"/>
      <c r="EB13" s="282"/>
      <c r="EC13" s="282"/>
      <c r="ED13" s="282"/>
      <c r="EE13" s="282"/>
      <c r="EF13" s="282"/>
      <c r="EG13" s="282"/>
      <c r="EH13" s="282"/>
      <c r="EI13" s="282"/>
      <c r="EJ13" s="282"/>
      <c r="EK13" s="282"/>
      <c r="EL13" s="282"/>
      <c r="EM13" s="282"/>
      <c r="EN13" s="282"/>
      <c r="EO13" s="282"/>
      <c r="EP13" s="282"/>
      <c r="EQ13" s="282"/>
      <c r="ER13" s="282"/>
      <c r="ES13" s="282"/>
      <c r="ET13" s="282"/>
      <c r="EU13" s="282"/>
    </row>
    <row r="14" spans="1:151" s="277" customFormat="1" x14ac:dyDescent="0.55000000000000004">
      <c r="A14" s="399" t="s">
        <v>147</v>
      </c>
      <c r="B14" s="400"/>
      <c r="C14" s="401"/>
      <c r="D14" s="404">
        <f>SUM(D10:D13)</f>
        <v>5697099.5932</v>
      </c>
      <c r="E14" s="401"/>
      <c r="F14" s="404">
        <f>SUM(F10:F13)</f>
        <v>4194233.4677370004</v>
      </c>
      <c r="G14" s="402"/>
      <c r="H14" s="404">
        <f>SUM(H10:H13)</f>
        <v>4845866.8861200009</v>
      </c>
      <c r="I14" s="402"/>
      <c r="J14" s="404">
        <f>SUM(J10:J13)</f>
        <v>4741524.8523599999</v>
      </c>
      <c r="K14" s="472"/>
      <c r="L14" s="404">
        <f>SUM(L10:L13)</f>
        <v>3955312.7711399999</v>
      </c>
      <c r="M14" s="402"/>
      <c r="N14" s="404">
        <f>SUM(N10:N13)</f>
        <v>4031435.7231199997</v>
      </c>
      <c r="O14" s="472"/>
      <c r="P14" s="404">
        <f>SUM(P10:P13)</f>
        <v>3786217.2206000001</v>
      </c>
      <c r="Q14" s="472"/>
      <c r="R14" s="404">
        <f>SUM(R10:R13)</f>
        <v>3755350.7674099999</v>
      </c>
      <c r="S14" s="472"/>
      <c r="T14" s="599">
        <f>SUM(T10:T13)</f>
        <v>3759283.8079200001</v>
      </c>
      <c r="U14" s="598"/>
      <c r="V14" s="599">
        <f>SUM(V10:V13)</f>
        <v>3890570.2209999999</v>
      </c>
      <c r="W14" s="716"/>
      <c r="X14" s="729">
        <f>SUM(X10:X13)</f>
        <v>3497095</v>
      </c>
      <c r="Y14" s="282"/>
      <c r="Z14" s="282"/>
      <c r="AA14" s="282"/>
      <c r="AB14" s="282"/>
      <c r="AC14" s="282"/>
      <c r="AD14" s="282"/>
      <c r="AE14" s="282"/>
      <c r="AF14" s="282"/>
      <c r="AG14" s="282"/>
      <c r="AH14" s="282"/>
      <c r="AI14" s="282"/>
      <c r="AJ14" s="282"/>
      <c r="AK14" s="282"/>
      <c r="AL14" s="282"/>
      <c r="AM14" s="282"/>
      <c r="AN14" s="282"/>
      <c r="AO14" s="282"/>
      <c r="AP14" s="282"/>
      <c r="AQ14" s="282"/>
      <c r="AR14" s="282"/>
      <c r="AS14" s="282"/>
      <c r="AT14" s="282"/>
      <c r="AU14" s="282"/>
      <c r="AV14" s="282"/>
      <c r="AW14" s="282"/>
      <c r="AX14" s="282"/>
      <c r="AY14" s="282"/>
      <c r="AZ14" s="282"/>
      <c r="BA14" s="282"/>
      <c r="BB14" s="282"/>
      <c r="BC14" s="282"/>
      <c r="BD14" s="282"/>
      <c r="BE14" s="282"/>
      <c r="BF14" s="282"/>
      <c r="BG14" s="282"/>
      <c r="BH14" s="282"/>
      <c r="BI14" s="282"/>
      <c r="BJ14" s="282"/>
      <c r="BK14" s="282"/>
      <c r="BL14" s="282"/>
      <c r="BM14" s="282"/>
      <c r="BN14" s="282"/>
      <c r="BO14" s="282"/>
      <c r="BP14" s="282"/>
      <c r="BQ14" s="282"/>
      <c r="BR14" s="282"/>
      <c r="BS14" s="282"/>
      <c r="BT14" s="282"/>
      <c r="BU14" s="282"/>
      <c r="BV14" s="282"/>
      <c r="BW14" s="282"/>
      <c r="BX14" s="282"/>
      <c r="BY14" s="282"/>
      <c r="BZ14" s="282"/>
      <c r="CA14" s="282"/>
      <c r="CB14" s="282"/>
      <c r="CC14" s="282"/>
      <c r="CD14" s="282"/>
      <c r="CE14" s="282"/>
      <c r="CF14" s="282"/>
      <c r="CG14" s="282"/>
      <c r="CH14" s="282"/>
      <c r="CI14" s="282"/>
      <c r="CJ14" s="282"/>
      <c r="CK14" s="282"/>
      <c r="CL14" s="282"/>
      <c r="CM14" s="282"/>
      <c r="CN14" s="282"/>
      <c r="CO14" s="282"/>
      <c r="CP14" s="282"/>
      <c r="CQ14" s="282"/>
      <c r="CR14" s="282"/>
      <c r="CS14" s="282"/>
      <c r="CT14" s="282"/>
      <c r="CU14" s="282"/>
      <c r="CV14" s="282"/>
      <c r="CW14" s="282"/>
      <c r="CX14" s="282"/>
      <c r="CY14" s="282"/>
      <c r="CZ14" s="282"/>
      <c r="DA14" s="282"/>
      <c r="DB14" s="282"/>
      <c r="DC14" s="282"/>
      <c r="DD14" s="282"/>
      <c r="DE14" s="282"/>
      <c r="DF14" s="282"/>
      <c r="DG14" s="282"/>
      <c r="DH14" s="282"/>
      <c r="DI14" s="282"/>
      <c r="DJ14" s="282"/>
      <c r="DK14" s="282"/>
      <c r="DL14" s="282"/>
      <c r="DM14" s="282"/>
      <c r="DN14" s="282"/>
      <c r="DO14" s="282"/>
      <c r="DP14" s="282"/>
      <c r="DQ14" s="282"/>
      <c r="DR14" s="282"/>
      <c r="DS14" s="282"/>
      <c r="DT14" s="282"/>
      <c r="DU14" s="282"/>
      <c r="DV14" s="282"/>
      <c r="DW14" s="282"/>
      <c r="DX14" s="282"/>
      <c r="DY14" s="282"/>
      <c r="DZ14" s="282"/>
      <c r="EA14" s="282"/>
      <c r="EB14" s="282"/>
      <c r="EC14" s="282"/>
      <c r="ED14" s="282"/>
      <c r="EE14" s="282"/>
      <c r="EF14" s="282"/>
      <c r="EG14" s="282"/>
      <c r="EH14" s="282"/>
      <c r="EI14" s="282"/>
      <c r="EJ14" s="282"/>
      <c r="EK14" s="282"/>
      <c r="EL14" s="282"/>
      <c r="EM14" s="282"/>
      <c r="EN14" s="282"/>
      <c r="EO14" s="282"/>
      <c r="EP14" s="282"/>
      <c r="EQ14" s="282"/>
      <c r="ER14" s="282"/>
      <c r="ES14" s="282"/>
      <c r="ET14" s="282"/>
      <c r="EU14" s="282"/>
    </row>
    <row r="15" spans="1:151" x14ac:dyDescent="0.55000000000000004">
      <c r="A15" s="395" t="s">
        <v>10</v>
      </c>
      <c r="B15" s="370"/>
      <c r="C15" s="349"/>
      <c r="D15" s="376"/>
      <c r="E15" s="373"/>
      <c r="F15" s="376"/>
      <c r="G15" s="372"/>
      <c r="H15" s="376"/>
      <c r="I15" s="371"/>
      <c r="J15" s="376"/>
      <c r="K15" s="373"/>
      <c r="L15" s="375"/>
      <c r="M15" s="373"/>
      <c r="N15" s="375"/>
      <c r="O15" s="373"/>
      <c r="P15" s="375"/>
      <c r="Q15" s="373"/>
      <c r="R15" s="375"/>
      <c r="S15" s="583"/>
      <c r="T15" s="585"/>
      <c r="U15" s="541"/>
      <c r="V15" s="739"/>
      <c r="W15" s="50"/>
      <c r="X15" s="544"/>
      <c r="Y15" s="282"/>
      <c r="Z15" s="282"/>
      <c r="AA15" s="282"/>
      <c r="AB15" s="282"/>
      <c r="AC15" s="282"/>
      <c r="AD15" s="282"/>
      <c r="AE15" s="282"/>
      <c r="AF15" s="282"/>
      <c r="AG15" s="282"/>
      <c r="AH15" s="282"/>
      <c r="AI15" s="282"/>
      <c r="AJ15" s="282"/>
      <c r="AK15" s="282"/>
      <c r="AL15" s="282"/>
      <c r="AM15" s="282"/>
      <c r="AN15" s="282"/>
      <c r="AO15" s="282"/>
      <c r="AP15" s="282"/>
      <c r="AQ15" s="282"/>
      <c r="AR15" s="282"/>
      <c r="AS15" s="282"/>
      <c r="AT15" s="282"/>
      <c r="AU15" s="282"/>
      <c r="AV15" s="282"/>
      <c r="AW15" s="282"/>
      <c r="AX15" s="282"/>
      <c r="AY15" s="282"/>
      <c r="AZ15" s="282"/>
      <c r="BA15" s="282"/>
      <c r="BB15" s="282"/>
      <c r="BC15" s="282"/>
      <c r="BD15" s="282"/>
      <c r="BE15" s="282"/>
      <c r="BF15" s="282"/>
      <c r="BG15" s="282"/>
      <c r="BH15" s="282"/>
      <c r="BI15" s="282"/>
      <c r="BJ15" s="282"/>
      <c r="BK15" s="282"/>
      <c r="BL15" s="282"/>
      <c r="BM15" s="282"/>
      <c r="BN15" s="282"/>
      <c r="BO15" s="282"/>
      <c r="BP15" s="282"/>
      <c r="BQ15" s="282"/>
      <c r="BR15" s="282"/>
      <c r="BS15" s="282"/>
      <c r="BT15" s="282"/>
      <c r="BU15" s="282"/>
      <c r="BV15" s="282"/>
      <c r="BW15" s="282"/>
      <c r="BX15" s="282"/>
      <c r="BY15" s="282"/>
      <c r="BZ15" s="282"/>
      <c r="CA15" s="282"/>
      <c r="CB15" s="282"/>
      <c r="CC15" s="282"/>
      <c r="CD15" s="282"/>
      <c r="CE15" s="282"/>
      <c r="CF15" s="282"/>
      <c r="CG15" s="282"/>
      <c r="CH15" s="282"/>
      <c r="CI15" s="282"/>
      <c r="CJ15" s="282"/>
      <c r="CK15" s="282"/>
      <c r="CL15" s="282"/>
      <c r="CM15" s="282"/>
      <c r="CN15" s="282"/>
      <c r="CO15" s="282"/>
      <c r="CP15" s="282"/>
      <c r="CQ15" s="282"/>
      <c r="CR15" s="282"/>
      <c r="CS15" s="282"/>
      <c r="CT15" s="282"/>
      <c r="CU15" s="282"/>
      <c r="CV15" s="282"/>
      <c r="CW15" s="282"/>
      <c r="CX15" s="282"/>
      <c r="CY15" s="282"/>
      <c r="CZ15" s="282"/>
      <c r="DA15" s="282"/>
      <c r="DB15" s="282"/>
      <c r="DC15" s="282"/>
      <c r="DD15" s="282"/>
      <c r="DE15" s="282"/>
      <c r="DF15" s="282"/>
      <c r="DG15" s="282"/>
      <c r="DH15" s="282"/>
      <c r="DI15" s="282"/>
      <c r="DJ15" s="282"/>
      <c r="DK15" s="282"/>
      <c r="DL15" s="282"/>
      <c r="DM15" s="282"/>
      <c r="DN15" s="282"/>
      <c r="DO15" s="282"/>
      <c r="DP15" s="282"/>
      <c r="DQ15" s="282"/>
      <c r="DR15" s="282"/>
      <c r="DS15" s="282"/>
      <c r="DT15" s="282"/>
      <c r="DU15" s="282"/>
      <c r="DV15" s="282"/>
      <c r="DW15" s="282"/>
      <c r="DX15" s="282"/>
      <c r="DY15" s="282"/>
      <c r="DZ15" s="282"/>
      <c r="EA15" s="282"/>
      <c r="EB15" s="282"/>
      <c r="EC15" s="282"/>
      <c r="ED15" s="282"/>
      <c r="EE15" s="282"/>
      <c r="EF15" s="282"/>
      <c r="EG15" s="282"/>
      <c r="EH15" s="282"/>
      <c r="EI15" s="282"/>
      <c r="EJ15" s="282"/>
      <c r="EK15" s="282"/>
      <c r="EL15" s="282"/>
      <c r="EM15" s="282"/>
      <c r="EN15" s="282"/>
      <c r="EO15" s="282"/>
      <c r="EP15" s="282"/>
      <c r="EQ15" s="282"/>
      <c r="ER15" s="282"/>
      <c r="ES15" s="282"/>
      <c r="ET15" s="282"/>
      <c r="EU15" s="282"/>
    </row>
    <row r="16" spans="1:151" s="282" customFormat="1" x14ac:dyDescent="0.55000000000000004">
      <c r="A16" s="397" t="s">
        <v>11</v>
      </c>
      <c r="B16" s="393" t="s">
        <v>27</v>
      </c>
      <c r="C16" s="373">
        <v>29928048</v>
      </c>
      <c r="D16" s="375">
        <v>159176.8125</v>
      </c>
      <c r="E16" s="352">
        <v>3498616</v>
      </c>
      <c r="F16" s="375">
        <v>18607.913990000001</v>
      </c>
      <c r="G16" s="371">
        <v>33760846</v>
      </c>
      <c r="H16" s="375">
        <v>179562.12359999999</v>
      </c>
      <c r="I16" s="374">
        <v>31321848</v>
      </c>
      <c r="J16" s="375">
        <v>166589.94690000001</v>
      </c>
      <c r="K16" s="352">
        <v>24999981</v>
      </c>
      <c r="L16" s="350">
        <v>132966.1489</v>
      </c>
      <c r="M16" s="378" t="s">
        <v>95</v>
      </c>
      <c r="N16" s="379" t="s">
        <v>95</v>
      </c>
      <c r="O16" s="352">
        <v>25030199</v>
      </c>
      <c r="P16" s="375">
        <v>133126.86790000001</v>
      </c>
      <c r="Q16" s="352">
        <v>27889945</v>
      </c>
      <c r="R16" s="375">
        <v>148336.856</v>
      </c>
      <c r="S16" s="584">
        <v>25792666.800000001</v>
      </c>
      <c r="T16" s="585">
        <v>137182.1673</v>
      </c>
      <c r="U16" s="542">
        <v>24352517.199999999</v>
      </c>
      <c r="V16" s="740">
        <v>129523</v>
      </c>
      <c r="W16" s="50">
        <v>24208403.815925542</v>
      </c>
      <c r="X16" s="544">
        <v>128756</v>
      </c>
    </row>
    <row r="17" spans="1:151" s="282" customFormat="1" x14ac:dyDescent="0.55000000000000004">
      <c r="A17" s="397" t="s">
        <v>12</v>
      </c>
      <c r="B17" s="393" t="s">
        <v>28</v>
      </c>
      <c r="C17" s="373">
        <v>444682100</v>
      </c>
      <c r="D17" s="375">
        <v>230926.75150000001</v>
      </c>
      <c r="E17" s="352">
        <v>439379152</v>
      </c>
      <c r="F17" s="375">
        <v>189759.99179999999</v>
      </c>
      <c r="G17" s="371">
        <v>425280934</v>
      </c>
      <c r="H17" s="375">
        <v>194166.09020000001</v>
      </c>
      <c r="I17" s="374">
        <v>378698514</v>
      </c>
      <c r="J17" s="375">
        <v>172898.4394</v>
      </c>
      <c r="K17" s="352">
        <v>391652242</v>
      </c>
      <c r="L17" s="350">
        <v>153196.2058</v>
      </c>
      <c r="M17" s="378" t="s">
        <v>95</v>
      </c>
      <c r="N17" s="379" t="s">
        <v>95</v>
      </c>
      <c r="O17" s="352">
        <v>394684330</v>
      </c>
      <c r="P17" s="375">
        <v>149385.96549999999</v>
      </c>
      <c r="Q17" s="352">
        <v>386132443</v>
      </c>
      <c r="R17" s="375">
        <v>146149.1207</v>
      </c>
      <c r="S17" s="584">
        <v>342789683</v>
      </c>
      <c r="T17" s="585">
        <v>118478.7386</v>
      </c>
      <c r="U17" s="542">
        <v>270746880</v>
      </c>
      <c r="V17" s="740">
        <v>93579</v>
      </c>
      <c r="W17" s="50">
        <v>348874906</v>
      </c>
      <c r="X17" s="544">
        <v>113905</v>
      </c>
    </row>
    <row r="18" spans="1:151" x14ac:dyDescent="0.55000000000000004">
      <c r="A18" s="396" t="s">
        <v>13</v>
      </c>
      <c r="B18" s="370" t="s">
        <v>29</v>
      </c>
      <c r="C18" s="382" t="s">
        <v>95</v>
      </c>
      <c r="D18" s="471" t="s">
        <v>95</v>
      </c>
      <c r="E18" s="382" t="s">
        <v>95</v>
      </c>
      <c r="F18" s="471" t="s">
        <v>95</v>
      </c>
      <c r="G18" s="382" t="s">
        <v>95</v>
      </c>
      <c r="H18" s="471" t="s">
        <v>95</v>
      </c>
      <c r="I18" s="382" t="s">
        <v>95</v>
      </c>
      <c r="J18" s="471" t="s">
        <v>95</v>
      </c>
      <c r="K18" s="382" t="s">
        <v>95</v>
      </c>
      <c r="L18" s="471" t="s">
        <v>95</v>
      </c>
      <c r="M18" s="378" t="s">
        <v>95</v>
      </c>
      <c r="N18" s="379" t="s">
        <v>95</v>
      </c>
      <c r="O18" s="373">
        <v>17031</v>
      </c>
      <c r="P18" s="375">
        <v>174.99318439999999</v>
      </c>
      <c r="Q18" s="373">
        <v>597090</v>
      </c>
      <c r="R18" s="375">
        <v>6135.0878080000002</v>
      </c>
      <c r="S18" s="587" t="s">
        <v>95</v>
      </c>
      <c r="T18" s="616" t="s">
        <v>95</v>
      </c>
      <c r="U18" s="382" t="s">
        <v>95</v>
      </c>
      <c r="V18" s="616" t="s">
        <v>95</v>
      </c>
      <c r="W18" s="50">
        <v>0</v>
      </c>
      <c r="X18" s="544">
        <v>0</v>
      </c>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c r="AW18" s="282"/>
      <c r="AX18" s="282"/>
      <c r="AY18" s="282"/>
      <c r="AZ18" s="282"/>
      <c r="BA18" s="282"/>
      <c r="BB18" s="282"/>
      <c r="BC18" s="282"/>
      <c r="BD18" s="282"/>
      <c r="BE18" s="282"/>
      <c r="BF18" s="282"/>
      <c r="BG18" s="282"/>
      <c r="BH18" s="282"/>
      <c r="BI18" s="282"/>
      <c r="BJ18" s="282"/>
      <c r="BK18" s="282"/>
      <c r="BL18" s="282"/>
      <c r="BM18" s="282"/>
      <c r="BN18" s="282"/>
      <c r="BO18" s="282"/>
      <c r="BP18" s="282"/>
      <c r="BQ18" s="282"/>
      <c r="BR18" s="282"/>
      <c r="BS18" s="282"/>
      <c r="BT18" s="282"/>
      <c r="BU18" s="282"/>
      <c r="BV18" s="282"/>
      <c r="BW18" s="282"/>
      <c r="BX18" s="282"/>
      <c r="BY18" s="282"/>
      <c r="BZ18" s="282"/>
      <c r="CA18" s="282"/>
      <c r="CB18" s="282"/>
      <c r="CC18" s="282"/>
      <c r="CD18" s="282"/>
      <c r="CE18" s="282"/>
      <c r="CF18" s="282"/>
      <c r="CG18" s="282"/>
      <c r="CH18" s="282"/>
      <c r="CI18" s="282"/>
      <c r="CJ18" s="282"/>
      <c r="CK18" s="282"/>
      <c r="CL18" s="282"/>
      <c r="CM18" s="282"/>
      <c r="CN18" s="282"/>
      <c r="CO18" s="282"/>
      <c r="CP18" s="282"/>
      <c r="CQ18" s="282"/>
      <c r="CR18" s="282"/>
      <c r="CS18" s="282"/>
      <c r="CT18" s="282"/>
      <c r="CU18" s="282"/>
      <c r="CV18" s="282"/>
      <c r="CW18" s="282"/>
      <c r="CX18" s="282"/>
      <c r="CY18" s="282"/>
      <c r="CZ18" s="282"/>
      <c r="DA18" s="282"/>
      <c r="DB18" s="282"/>
      <c r="DC18" s="282"/>
      <c r="DD18" s="282"/>
      <c r="DE18" s="282"/>
      <c r="DF18" s="282"/>
      <c r="DG18" s="282"/>
      <c r="DH18" s="282"/>
      <c r="DI18" s="282"/>
      <c r="DJ18" s="282"/>
      <c r="DK18" s="282"/>
      <c r="DL18" s="282"/>
      <c r="DM18" s="282"/>
      <c r="DN18" s="282"/>
      <c r="DO18" s="282"/>
      <c r="DP18" s="282"/>
      <c r="DQ18" s="282"/>
      <c r="DR18" s="282"/>
      <c r="DS18" s="282"/>
      <c r="DT18" s="282"/>
      <c r="DU18" s="282"/>
      <c r="DV18" s="282"/>
      <c r="DW18" s="282"/>
      <c r="DX18" s="282"/>
      <c r="DY18" s="282"/>
      <c r="DZ18" s="282"/>
      <c r="EA18" s="282"/>
      <c r="EB18" s="282"/>
      <c r="EC18" s="282"/>
      <c r="ED18" s="282"/>
      <c r="EE18" s="282"/>
      <c r="EF18" s="282"/>
      <c r="EG18" s="282"/>
      <c r="EH18" s="282"/>
      <c r="EI18" s="282"/>
      <c r="EJ18" s="282"/>
      <c r="EK18" s="282"/>
      <c r="EL18" s="282"/>
      <c r="EM18" s="282"/>
      <c r="EN18" s="282"/>
      <c r="EO18" s="282"/>
      <c r="EP18" s="282"/>
      <c r="EQ18" s="282"/>
      <c r="ER18" s="282"/>
      <c r="ES18" s="282"/>
      <c r="ET18" s="282"/>
      <c r="EU18" s="282"/>
    </row>
    <row r="19" spans="1:151" s="277" customFormat="1" x14ac:dyDescent="0.55000000000000004">
      <c r="A19" s="399" t="s">
        <v>148</v>
      </c>
      <c r="B19" s="400"/>
      <c r="C19" s="403"/>
      <c r="D19" s="404">
        <f>SUM(D16:D17)</f>
        <v>390103.56400000001</v>
      </c>
      <c r="E19" s="405"/>
      <c r="F19" s="404">
        <f>SUM(F16:F17)</f>
        <v>208367.90578999999</v>
      </c>
      <c r="G19" s="403"/>
      <c r="H19" s="404">
        <f>SUM(H16:H17)</f>
        <v>373728.21380000003</v>
      </c>
      <c r="I19" s="405"/>
      <c r="J19" s="404">
        <f>SUM(J16:J17)</f>
        <v>339488.38630000001</v>
      </c>
      <c r="K19" s="403"/>
      <c r="L19" s="404">
        <f>SUM(L16:L17)</f>
        <v>286162.35470000003</v>
      </c>
      <c r="M19" s="403" t="s">
        <v>95</v>
      </c>
      <c r="N19" s="406" t="s">
        <v>95</v>
      </c>
      <c r="O19" s="405"/>
      <c r="P19" s="404">
        <f>SUM(P16:P18)</f>
        <v>282687.82658440003</v>
      </c>
      <c r="Q19" s="403"/>
      <c r="R19" s="404">
        <f>SUM(R16:R18)</f>
        <v>300621.06450799998</v>
      </c>
      <c r="S19" s="546"/>
      <c r="T19" s="599">
        <f>SUM(T16:T18)</f>
        <v>255660.90590000001</v>
      </c>
      <c r="U19" s="716"/>
      <c r="V19" s="741">
        <f>SUM(V16:V18)</f>
        <v>223102</v>
      </c>
      <c r="W19" s="716"/>
      <c r="X19" s="729">
        <f>SUM(X16:X18)</f>
        <v>242661</v>
      </c>
      <c r="Y19" s="282"/>
      <c r="Z19" s="282"/>
      <c r="AA19" s="282"/>
      <c r="AB19" s="282"/>
      <c r="AC19" s="282"/>
      <c r="AD19" s="282"/>
      <c r="AE19" s="282"/>
      <c r="AF19" s="282"/>
      <c r="AG19" s="282"/>
      <c r="AH19" s="282"/>
      <c r="AI19" s="282"/>
      <c r="AJ19" s="282"/>
      <c r="AK19" s="282"/>
      <c r="AL19" s="282"/>
      <c r="AM19" s="282"/>
      <c r="AN19" s="282"/>
      <c r="AO19" s="282"/>
      <c r="AP19" s="282"/>
      <c r="AQ19" s="282"/>
      <c r="AR19" s="282"/>
      <c r="AS19" s="282"/>
      <c r="AT19" s="282"/>
      <c r="AU19" s="282"/>
      <c r="AV19" s="282"/>
      <c r="AW19" s="282"/>
      <c r="AX19" s="282"/>
      <c r="AY19" s="282"/>
      <c r="AZ19" s="282"/>
      <c r="BA19" s="282"/>
      <c r="BB19" s="282"/>
      <c r="BC19" s="282"/>
      <c r="BD19" s="282"/>
      <c r="BE19" s="282"/>
      <c r="BF19" s="282"/>
      <c r="BG19" s="282"/>
      <c r="BH19" s="282"/>
      <c r="BI19" s="282"/>
      <c r="BJ19" s="282"/>
      <c r="BK19" s="282"/>
      <c r="BL19" s="282"/>
      <c r="BM19" s="282"/>
      <c r="BN19" s="282"/>
      <c r="BO19" s="282"/>
      <c r="BP19" s="282"/>
      <c r="BQ19" s="282"/>
      <c r="BR19" s="282"/>
      <c r="BS19" s="282"/>
      <c r="BT19" s="282"/>
      <c r="BU19" s="282"/>
      <c r="BV19" s="282"/>
      <c r="BW19" s="282"/>
      <c r="BX19" s="282"/>
      <c r="BY19" s="282"/>
      <c r="BZ19" s="282"/>
      <c r="CA19" s="282"/>
      <c r="CB19" s="282"/>
      <c r="CC19" s="282"/>
      <c r="CD19" s="282"/>
      <c r="CE19" s="282"/>
      <c r="CF19" s="282"/>
      <c r="CG19" s="282"/>
      <c r="CH19" s="282"/>
      <c r="CI19" s="282"/>
      <c r="CJ19" s="282"/>
      <c r="CK19" s="282"/>
      <c r="CL19" s="282"/>
      <c r="CM19" s="282"/>
      <c r="CN19" s="282"/>
      <c r="CO19" s="282"/>
      <c r="CP19" s="282"/>
      <c r="CQ19" s="282"/>
      <c r="CR19" s="282"/>
      <c r="CS19" s="282"/>
      <c r="CT19" s="282"/>
      <c r="CU19" s="282"/>
      <c r="CV19" s="282"/>
      <c r="CW19" s="282"/>
      <c r="CX19" s="282"/>
      <c r="CY19" s="282"/>
      <c r="CZ19" s="282"/>
      <c r="DA19" s="282"/>
      <c r="DB19" s="282"/>
      <c r="DC19" s="282"/>
      <c r="DD19" s="282"/>
      <c r="DE19" s="282"/>
      <c r="DF19" s="282"/>
      <c r="DG19" s="282"/>
      <c r="DH19" s="282"/>
      <c r="DI19" s="282"/>
      <c r="DJ19" s="282"/>
      <c r="DK19" s="282"/>
      <c r="DL19" s="282"/>
      <c r="DM19" s="282"/>
      <c r="DN19" s="282"/>
      <c r="DO19" s="282"/>
      <c r="DP19" s="282"/>
      <c r="DQ19" s="282"/>
      <c r="DR19" s="282"/>
      <c r="DS19" s="282"/>
      <c r="DT19" s="282"/>
      <c r="DU19" s="282"/>
      <c r="DV19" s="282"/>
      <c r="DW19" s="282"/>
      <c r="DX19" s="282"/>
      <c r="DY19" s="282"/>
      <c r="DZ19" s="282"/>
      <c r="EA19" s="282"/>
      <c r="EB19" s="282"/>
      <c r="EC19" s="282"/>
      <c r="ED19" s="282"/>
      <c r="EE19" s="282"/>
      <c r="EF19" s="282"/>
      <c r="EG19" s="282"/>
      <c r="EH19" s="282"/>
      <c r="EI19" s="282"/>
      <c r="EJ19" s="282"/>
      <c r="EK19" s="282"/>
      <c r="EL19" s="282"/>
      <c r="EM19" s="282"/>
      <c r="EN19" s="282"/>
      <c r="EO19" s="282"/>
      <c r="EP19" s="282"/>
      <c r="EQ19" s="282"/>
      <c r="ER19" s="282"/>
      <c r="ES19" s="282"/>
      <c r="ET19" s="282"/>
      <c r="EU19" s="282"/>
    </row>
    <row r="20" spans="1:151" x14ac:dyDescent="0.55000000000000004">
      <c r="A20" s="395" t="s">
        <v>102</v>
      </c>
      <c r="B20" s="370"/>
      <c r="C20" s="349"/>
      <c r="D20" s="376"/>
      <c r="E20" s="373"/>
      <c r="F20" s="376"/>
      <c r="G20" s="372"/>
      <c r="H20" s="376"/>
      <c r="I20" s="371"/>
      <c r="J20" s="376"/>
      <c r="K20" s="373"/>
      <c r="L20" s="375"/>
      <c r="M20" s="373"/>
      <c r="N20" s="375"/>
      <c r="O20" s="373"/>
      <c r="P20" s="375"/>
      <c r="Q20" s="373"/>
      <c r="R20" s="375"/>
      <c r="S20" s="583"/>
      <c r="T20" s="585"/>
      <c r="U20" s="541"/>
      <c r="V20" s="739"/>
      <c r="W20" s="50"/>
      <c r="X20" s="544"/>
      <c r="Y20" s="282"/>
      <c r="Z20" s="282"/>
      <c r="AA20" s="282"/>
      <c r="AB20" s="282"/>
      <c r="AC20" s="282"/>
      <c r="AD20" s="282"/>
      <c r="AE20" s="282"/>
      <c r="AF20" s="282"/>
      <c r="AG20" s="282"/>
      <c r="AH20" s="282"/>
      <c r="AI20" s="282"/>
      <c r="AJ20" s="282"/>
      <c r="AK20" s="282"/>
      <c r="AL20" s="282"/>
      <c r="AM20" s="282"/>
      <c r="AN20" s="282"/>
      <c r="AO20" s="282"/>
      <c r="AP20" s="282"/>
      <c r="AQ20" s="282"/>
      <c r="AR20" s="282"/>
      <c r="AS20" s="282"/>
      <c r="AT20" s="282"/>
      <c r="AU20" s="282"/>
      <c r="AV20" s="282"/>
      <c r="AW20" s="282"/>
      <c r="AX20" s="282"/>
      <c r="AY20" s="282"/>
      <c r="AZ20" s="282"/>
      <c r="BA20" s="282"/>
      <c r="BB20" s="282"/>
      <c r="BC20" s="282"/>
      <c r="BD20" s="282"/>
      <c r="BE20" s="282"/>
      <c r="BF20" s="282"/>
      <c r="BG20" s="282"/>
      <c r="BH20" s="282"/>
      <c r="BI20" s="282"/>
      <c r="BJ20" s="282"/>
      <c r="BK20" s="282"/>
      <c r="BL20" s="282"/>
      <c r="BM20" s="282"/>
      <c r="BN20" s="282"/>
      <c r="BO20" s="282"/>
      <c r="BP20" s="282"/>
      <c r="BQ20" s="282"/>
      <c r="BR20" s="282"/>
      <c r="BS20" s="282"/>
      <c r="BT20" s="282"/>
      <c r="BU20" s="282"/>
      <c r="BV20" s="282"/>
      <c r="BW20" s="282"/>
      <c r="BX20" s="282"/>
      <c r="BY20" s="282"/>
      <c r="BZ20" s="282"/>
      <c r="CA20" s="282"/>
      <c r="CB20" s="282"/>
      <c r="CC20" s="282"/>
      <c r="CD20" s="282"/>
      <c r="CE20" s="282"/>
      <c r="CF20" s="282"/>
      <c r="CG20" s="282"/>
      <c r="CH20" s="282"/>
      <c r="CI20" s="282"/>
      <c r="CJ20" s="282"/>
      <c r="CK20" s="282"/>
      <c r="CL20" s="282"/>
      <c r="CM20" s="282"/>
      <c r="CN20" s="282"/>
      <c r="CO20" s="282"/>
      <c r="CP20" s="282"/>
      <c r="CQ20" s="282"/>
      <c r="CR20" s="282"/>
      <c r="CS20" s="282"/>
      <c r="CT20" s="282"/>
      <c r="CU20" s="282"/>
      <c r="CV20" s="282"/>
      <c r="CW20" s="282"/>
      <c r="CX20" s="282"/>
      <c r="CY20" s="282"/>
      <c r="CZ20" s="282"/>
      <c r="DA20" s="282"/>
      <c r="DB20" s="282"/>
      <c r="DC20" s="282"/>
      <c r="DD20" s="282"/>
      <c r="DE20" s="282"/>
      <c r="DF20" s="282"/>
      <c r="DG20" s="282"/>
      <c r="DH20" s="282"/>
      <c r="DI20" s="282"/>
      <c r="DJ20" s="282"/>
      <c r="DK20" s="282"/>
      <c r="DL20" s="282"/>
      <c r="DM20" s="282"/>
      <c r="DN20" s="282"/>
      <c r="DO20" s="282"/>
      <c r="DP20" s="282"/>
      <c r="DQ20" s="282"/>
      <c r="DR20" s="282"/>
      <c r="DS20" s="282"/>
      <c r="DT20" s="282"/>
      <c r="DU20" s="282"/>
      <c r="DV20" s="282"/>
      <c r="DW20" s="282"/>
      <c r="DX20" s="282"/>
      <c r="DY20" s="282"/>
      <c r="DZ20" s="282"/>
      <c r="EA20" s="282"/>
      <c r="EB20" s="282"/>
      <c r="EC20" s="282"/>
      <c r="ED20" s="282"/>
      <c r="EE20" s="282"/>
      <c r="EF20" s="282"/>
      <c r="EG20" s="282"/>
      <c r="EH20" s="282"/>
      <c r="EI20" s="282"/>
      <c r="EJ20" s="282"/>
      <c r="EK20" s="282"/>
      <c r="EL20" s="282"/>
      <c r="EM20" s="282"/>
      <c r="EN20" s="282"/>
      <c r="EO20" s="282"/>
      <c r="EP20" s="282"/>
      <c r="EQ20" s="282"/>
      <c r="ER20" s="282"/>
      <c r="ES20" s="282"/>
      <c r="ET20" s="282"/>
      <c r="EU20" s="282"/>
    </row>
    <row r="21" spans="1:151" x14ac:dyDescent="0.55000000000000004">
      <c r="A21" s="396" t="s">
        <v>142</v>
      </c>
      <c r="B21" s="370" t="s">
        <v>77</v>
      </c>
      <c r="C21" s="392" t="s">
        <v>95</v>
      </c>
      <c r="D21" s="376">
        <v>61719.92411</v>
      </c>
      <c r="E21" s="382" t="s">
        <v>95</v>
      </c>
      <c r="F21" s="373">
        <v>57205.687660000003</v>
      </c>
      <c r="G21" s="381" t="s">
        <v>95</v>
      </c>
      <c r="H21" s="376">
        <v>50267.994870000002</v>
      </c>
      <c r="I21" s="382" t="s">
        <v>95</v>
      </c>
      <c r="J21" s="376">
        <v>49017.170639999997</v>
      </c>
      <c r="K21" s="382" t="s">
        <v>95</v>
      </c>
      <c r="L21" s="375">
        <v>64538.060830000002</v>
      </c>
      <c r="M21" s="380" t="s">
        <v>95</v>
      </c>
      <c r="N21" s="376">
        <v>65648.203689999995</v>
      </c>
      <c r="O21" s="382" t="s">
        <v>95</v>
      </c>
      <c r="P21" s="375">
        <v>34428.842510000002</v>
      </c>
      <c r="Q21" s="382" t="s">
        <v>95</v>
      </c>
      <c r="R21" s="375">
        <v>42348.575980000001</v>
      </c>
      <c r="S21" s="547" t="s">
        <v>95</v>
      </c>
      <c r="T21" s="585">
        <v>33354.625480000002</v>
      </c>
      <c r="U21" s="390" t="s">
        <v>95</v>
      </c>
      <c r="V21" s="739">
        <v>29127</v>
      </c>
      <c r="W21" s="50">
        <v>2584918053</v>
      </c>
      <c r="X21" s="544">
        <v>41185</v>
      </c>
      <c r="Y21" s="282"/>
      <c r="Z21" s="282"/>
      <c r="AA21" s="282"/>
      <c r="AB21" s="282"/>
      <c r="AC21" s="282"/>
      <c r="AD21" s="282"/>
      <c r="AE21" s="282"/>
      <c r="AF21" s="282"/>
      <c r="AG21" s="282"/>
      <c r="AH21" s="282"/>
      <c r="AI21" s="282"/>
      <c r="AJ21" s="282"/>
      <c r="AK21" s="282"/>
      <c r="AL21" s="282"/>
      <c r="AM21" s="282"/>
      <c r="AN21" s="282"/>
      <c r="AO21" s="282"/>
      <c r="AP21" s="282"/>
      <c r="AQ21" s="282"/>
      <c r="AR21" s="282"/>
      <c r="AS21" s="282"/>
      <c r="AT21" s="282"/>
      <c r="AU21" s="282"/>
      <c r="AV21" s="282"/>
      <c r="AW21" s="282"/>
      <c r="AX21" s="282"/>
      <c r="AY21" s="282"/>
      <c r="AZ21" s="282"/>
      <c r="BA21" s="282"/>
      <c r="BB21" s="282"/>
      <c r="BC21" s="282"/>
      <c r="BD21" s="282"/>
      <c r="BE21" s="282"/>
      <c r="BF21" s="282"/>
      <c r="BG21" s="282"/>
      <c r="BH21" s="282"/>
      <c r="BI21" s="282"/>
      <c r="BJ21" s="282"/>
      <c r="BK21" s="282"/>
      <c r="BL21" s="282"/>
      <c r="BM21" s="282"/>
      <c r="BN21" s="282"/>
      <c r="BO21" s="282"/>
      <c r="BP21" s="282"/>
      <c r="BQ21" s="282"/>
      <c r="BR21" s="282"/>
      <c r="BS21" s="282"/>
      <c r="BT21" s="282"/>
      <c r="BU21" s="282"/>
      <c r="BV21" s="282"/>
      <c r="BW21" s="282"/>
      <c r="BX21" s="282"/>
      <c r="BY21" s="282"/>
      <c r="BZ21" s="282"/>
      <c r="CA21" s="282"/>
      <c r="CB21" s="282"/>
      <c r="CC21" s="282"/>
      <c r="CD21" s="282"/>
      <c r="CE21" s="282"/>
      <c r="CF21" s="282"/>
      <c r="CG21" s="282"/>
      <c r="CH21" s="282"/>
      <c r="CI21" s="282"/>
      <c r="CJ21" s="282"/>
      <c r="CK21" s="282"/>
      <c r="CL21" s="282"/>
      <c r="CM21" s="282"/>
      <c r="CN21" s="282"/>
      <c r="CO21" s="282"/>
      <c r="CP21" s="282"/>
      <c r="CQ21" s="282"/>
      <c r="CR21" s="282"/>
      <c r="CS21" s="282"/>
      <c r="CT21" s="282"/>
      <c r="CU21" s="282"/>
      <c r="CV21" s="282"/>
      <c r="CW21" s="282"/>
      <c r="CX21" s="282"/>
      <c r="CY21" s="282"/>
      <c r="CZ21" s="282"/>
      <c r="DA21" s="282"/>
      <c r="DB21" s="282"/>
      <c r="DC21" s="282"/>
      <c r="DD21" s="282"/>
      <c r="DE21" s="282"/>
      <c r="DF21" s="282"/>
      <c r="DG21" s="282"/>
      <c r="DH21" s="282"/>
      <c r="DI21" s="282"/>
      <c r="DJ21" s="282"/>
      <c r="DK21" s="282"/>
      <c r="DL21" s="282"/>
      <c r="DM21" s="282"/>
      <c r="DN21" s="282"/>
      <c r="DO21" s="282"/>
      <c r="DP21" s="282"/>
      <c r="DQ21" s="282"/>
      <c r="DR21" s="282"/>
      <c r="DS21" s="282"/>
      <c r="DT21" s="282"/>
      <c r="DU21" s="282"/>
      <c r="DV21" s="282"/>
      <c r="DW21" s="282"/>
      <c r="DX21" s="282"/>
      <c r="DY21" s="282"/>
      <c r="DZ21" s="282"/>
      <c r="EA21" s="282"/>
      <c r="EB21" s="282"/>
      <c r="EC21" s="282"/>
      <c r="ED21" s="282"/>
      <c r="EE21" s="282"/>
      <c r="EF21" s="282"/>
      <c r="EG21" s="282"/>
      <c r="EH21" s="282"/>
      <c r="EI21" s="282"/>
      <c r="EJ21" s="282"/>
      <c r="EK21" s="282"/>
      <c r="EL21" s="282"/>
      <c r="EM21" s="282"/>
      <c r="EN21" s="282"/>
      <c r="EO21" s="282"/>
      <c r="EP21" s="282"/>
      <c r="EQ21" s="282"/>
      <c r="ER21" s="282"/>
      <c r="ES21" s="282"/>
      <c r="ET21" s="282"/>
      <c r="EU21" s="282"/>
    </row>
    <row r="22" spans="1:151" ht="14.7" thickBot="1" x14ac:dyDescent="0.6">
      <c r="A22" s="318" t="s">
        <v>152</v>
      </c>
      <c r="B22" s="370" t="s">
        <v>77</v>
      </c>
      <c r="C22" s="392" t="s">
        <v>95</v>
      </c>
      <c r="D22" s="376">
        <v>312965.2708</v>
      </c>
      <c r="E22" s="382" t="s">
        <v>95</v>
      </c>
      <c r="F22" s="373">
        <v>198914.60759999999</v>
      </c>
      <c r="G22" s="381" t="s">
        <v>95</v>
      </c>
      <c r="H22" s="373">
        <v>249455.932</v>
      </c>
      <c r="I22" s="380" t="s">
        <v>95</v>
      </c>
      <c r="J22" s="376">
        <v>243576.84580000001</v>
      </c>
      <c r="K22" s="382" t="s">
        <v>95</v>
      </c>
      <c r="L22" s="376">
        <v>316390.70140000002</v>
      </c>
      <c r="M22" s="380" t="s">
        <v>95</v>
      </c>
      <c r="N22" s="586">
        <v>301701</v>
      </c>
      <c r="O22" s="382" t="s">
        <v>95</v>
      </c>
      <c r="P22" s="585">
        <v>158207</v>
      </c>
      <c r="Q22" s="373"/>
      <c r="R22" s="585">
        <v>158357</v>
      </c>
      <c r="S22" s="584"/>
      <c r="T22" s="585">
        <v>144744</v>
      </c>
      <c r="U22" s="50">
        <f>U11+U17</f>
        <v>9239449023</v>
      </c>
      <c r="V22" s="544">
        <v>143385</v>
      </c>
      <c r="W22" s="50">
        <f>W11+W17</f>
        <v>8363428298</v>
      </c>
      <c r="X22" s="544">
        <v>133254</v>
      </c>
      <c r="Y22" s="282"/>
      <c r="Z22" s="282"/>
      <c r="AA22" s="282"/>
      <c r="AB22" s="282"/>
      <c r="AC22" s="282"/>
      <c r="AD22" s="282"/>
      <c r="AE22" s="282"/>
      <c r="AF22" s="282"/>
      <c r="AG22" s="282"/>
      <c r="AH22" s="282"/>
      <c r="AI22" s="282"/>
      <c r="AJ22" s="282"/>
      <c r="AK22" s="282"/>
      <c r="AL22" s="282"/>
      <c r="AM22" s="282"/>
      <c r="AN22" s="282"/>
      <c r="AO22" s="282"/>
      <c r="AP22" s="282"/>
      <c r="AQ22" s="282"/>
      <c r="AR22" s="282"/>
      <c r="AS22" s="282"/>
      <c r="AT22" s="282"/>
      <c r="AU22" s="282"/>
      <c r="AV22" s="282"/>
      <c r="AW22" s="282"/>
      <c r="AX22" s="282"/>
      <c r="AY22" s="282"/>
      <c r="AZ22" s="282"/>
      <c r="BA22" s="282"/>
      <c r="BB22" s="282"/>
      <c r="BC22" s="282"/>
      <c r="BD22" s="282"/>
      <c r="BE22" s="282"/>
      <c r="BF22" s="282"/>
      <c r="BG22" s="282"/>
      <c r="BH22" s="282"/>
      <c r="BI22" s="282"/>
      <c r="BJ22" s="282"/>
      <c r="BK22" s="282"/>
      <c r="BL22" s="282"/>
      <c r="BM22" s="282"/>
      <c r="BN22" s="282"/>
      <c r="BO22" s="282"/>
      <c r="BP22" s="282"/>
      <c r="BQ22" s="282"/>
      <c r="BR22" s="282"/>
      <c r="BS22" s="282"/>
      <c r="BT22" s="282"/>
      <c r="BU22" s="282"/>
      <c r="BV22" s="282"/>
      <c r="BW22" s="282"/>
      <c r="BX22" s="282"/>
      <c r="BY22" s="282"/>
      <c r="BZ22" s="282"/>
      <c r="CA22" s="282"/>
      <c r="CB22" s="282"/>
      <c r="CC22" s="282"/>
      <c r="CD22" s="282"/>
      <c r="CE22" s="282"/>
      <c r="CF22" s="282"/>
      <c r="CG22" s="282"/>
      <c r="CH22" s="282"/>
      <c r="CI22" s="282"/>
      <c r="CJ22" s="282"/>
      <c r="CK22" s="282"/>
      <c r="CL22" s="282"/>
      <c r="CM22" s="282"/>
      <c r="CN22" s="282"/>
      <c r="CO22" s="282"/>
      <c r="CP22" s="282"/>
      <c r="CQ22" s="282"/>
      <c r="CR22" s="282"/>
      <c r="CS22" s="282"/>
      <c r="CT22" s="282"/>
      <c r="CU22" s="282"/>
      <c r="CV22" s="282"/>
      <c r="CW22" s="282"/>
      <c r="CX22" s="282"/>
      <c r="CY22" s="282"/>
      <c r="CZ22" s="282"/>
      <c r="DA22" s="282"/>
      <c r="DB22" s="282"/>
      <c r="DC22" s="282"/>
      <c r="DD22" s="282"/>
      <c r="DE22" s="282"/>
      <c r="DF22" s="282"/>
      <c r="DG22" s="282"/>
      <c r="DH22" s="282"/>
      <c r="DI22" s="282"/>
      <c r="DJ22" s="282"/>
      <c r="DK22" s="282"/>
      <c r="DL22" s="282"/>
      <c r="DM22" s="282"/>
      <c r="DN22" s="282"/>
      <c r="DO22" s="282"/>
      <c r="DP22" s="282"/>
      <c r="DQ22" s="282"/>
      <c r="DR22" s="282"/>
      <c r="DS22" s="282"/>
      <c r="DT22" s="282"/>
      <c r="DU22" s="282"/>
      <c r="DV22" s="282"/>
      <c r="DW22" s="282"/>
      <c r="DX22" s="282"/>
      <c r="DY22" s="282"/>
      <c r="DZ22" s="282"/>
      <c r="EA22" s="282"/>
      <c r="EB22" s="282"/>
      <c r="EC22" s="282"/>
      <c r="ED22" s="282"/>
      <c r="EE22" s="282"/>
      <c r="EF22" s="282"/>
      <c r="EG22" s="282"/>
      <c r="EH22" s="282"/>
      <c r="EI22" s="282"/>
      <c r="EJ22" s="282"/>
      <c r="EK22" s="282"/>
      <c r="EL22" s="282"/>
      <c r="EM22" s="282"/>
      <c r="EN22" s="282"/>
      <c r="EO22" s="282"/>
      <c r="EP22" s="282"/>
      <c r="EQ22" s="282"/>
      <c r="ER22" s="282"/>
      <c r="ES22" s="282"/>
      <c r="ET22" s="282"/>
      <c r="EU22" s="282"/>
    </row>
    <row r="23" spans="1:151" s="243" customFormat="1" ht="14.7" thickBot="1" x14ac:dyDescent="0.6">
      <c r="A23" s="407" t="s">
        <v>149</v>
      </c>
      <c r="B23" s="408"/>
      <c r="C23" s="409"/>
      <c r="D23" s="411">
        <f>SUM(D19,D14,D8,D21,D22)</f>
        <v>8114986.4547500005</v>
      </c>
      <c r="E23" s="412"/>
      <c r="F23" s="411">
        <f>SUM(F8,F14,F19,F21,F22)</f>
        <v>6403727.970807001</v>
      </c>
      <c r="G23" s="413"/>
      <c r="H23" s="411">
        <f t="shared" ref="H23" si="1">H19+H14+H8+H21+H22</f>
        <v>7159663.8837700002</v>
      </c>
      <c r="I23" s="414"/>
      <c r="J23" s="411">
        <f t="shared" ref="J23" si="2">J19+J14+J8+J21+J22</f>
        <v>6911119.9034000002</v>
      </c>
      <c r="K23" s="413"/>
      <c r="L23" s="411">
        <f t="shared" ref="L23" si="3">L19+L14+L8+L21+L22</f>
        <v>5961540.9570099991</v>
      </c>
      <c r="M23" s="413"/>
      <c r="N23" s="410">
        <f t="shared" ref="N23" si="4">N8+N14+N21+N22</f>
        <v>5985304.6273699999</v>
      </c>
      <c r="O23" s="415"/>
      <c r="P23" s="411">
        <f t="shared" ref="P23" si="5">P19+P14+P8+P21+P22</f>
        <v>5756104.6245144</v>
      </c>
      <c r="Q23" s="416"/>
      <c r="R23" s="411">
        <f t="shared" ref="R23" si="6">R19+R14+R8+R21+R22</f>
        <v>5889929.7706780005</v>
      </c>
      <c r="S23" s="602"/>
      <c r="T23" s="601">
        <f t="shared" ref="T23" si="7">T19+T14+T8+T21+T22</f>
        <v>5540886.6447999999</v>
      </c>
      <c r="U23" s="600"/>
      <c r="V23" s="417">
        <f>V8+V14+V19+V21+V22</f>
        <v>5559827.4210000001</v>
      </c>
      <c r="W23" s="600"/>
      <c r="X23" s="417">
        <f>X8+X14+X19+X21+X22</f>
        <v>5522839</v>
      </c>
      <c r="Y23" s="282"/>
      <c r="Z23" s="282"/>
      <c r="AA23" s="282"/>
      <c r="AB23" s="282"/>
      <c r="AC23" s="282"/>
      <c r="AD23" s="282"/>
      <c r="AE23" s="282"/>
      <c r="AF23" s="282"/>
      <c r="AG23" s="282"/>
      <c r="AH23" s="282"/>
      <c r="AI23" s="282"/>
      <c r="AJ23" s="282"/>
      <c r="AK23" s="282"/>
      <c r="AL23" s="282"/>
      <c r="AM23" s="282"/>
      <c r="AN23" s="282"/>
      <c r="AO23" s="282"/>
      <c r="AP23" s="282"/>
      <c r="AQ23" s="282"/>
      <c r="AR23" s="282"/>
      <c r="AS23" s="282"/>
      <c r="AT23" s="282"/>
      <c r="AU23" s="282"/>
      <c r="AV23" s="282"/>
      <c r="AW23" s="282"/>
      <c r="AX23" s="282"/>
      <c r="AY23" s="282"/>
      <c r="AZ23" s="282"/>
      <c r="BA23" s="282"/>
      <c r="BB23" s="282"/>
      <c r="BC23" s="282"/>
      <c r="BD23" s="282"/>
      <c r="BE23" s="282"/>
      <c r="BF23" s="282"/>
      <c r="BG23" s="282"/>
      <c r="BH23" s="282"/>
      <c r="BI23" s="282"/>
      <c r="BJ23" s="282"/>
      <c r="BK23" s="282"/>
      <c r="BL23" s="282"/>
      <c r="BM23" s="282"/>
      <c r="BN23" s="282"/>
      <c r="BO23" s="282"/>
      <c r="BP23" s="282"/>
      <c r="BQ23" s="282"/>
      <c r="BR23" s="282"/>
      <c r="BS23" s="282"/>
      <c r="BT23" s="282"/>
      <c r="BU23" s="282"/>
      <c r="BV23" s="282"/>
      <c r="BW23" s="282"/>
      <c r="BX23" s="282"/>
      <c r="BY23" s="282"/>
      <c r="BZ23" s="282"/>
      <c r="CA23" s="282"/>
      <c r="CB23" s="282"/>
      <c r="CC23" s="282"/>
      <c r="CD23" s="282"/>
      <c r="CE23" s="282"/>
      <c r="CF23" s="282"/>
      <c r="CG23" s="282"/>
      <c r="CH23" s="282"/>
      <c r="CI23" s="282"/>
      <c r="CJ23" s="282"/>
      <c r="CK23" s="282"/>
      <c r="CL23" s="282"/>
      <c r="CM23" s="282"/>
      <c r="CN23" s="282"/>
      <c r="CO23" s="282"/>
      <c r="CP23" s="282"/>
      <c r="CQ23" s="282"/>
      <c r="CR23" s="282"/>
      <c r="CS23" s="282"/>
      <c r="CT23" s="282"/>
      <c r="CU23" s="282"/>
      <c r="CV23" s="282"/>
      <c r="CW23" s="282"/>
      <c r="CX23" s="282"/>
      <c r="CY23" s="282"/>
      <c r="CZ23" s="282"/>
      <c r="DA23" s="282"/>
      <c r="DB23" s="282"/>
      <c r="DC23" s="282"/>
      <c r="DD23" s="282"/>
      <c r="DE23" s="282"/>
      <c r="DF23" s="282"/>
      <c r="DG23" s="282"/>
      <c r="DH23" s="282"/>
      <c r="DI23" s="282"/>
      <c r="DJ23" s="282"/>
      <c r="DK23" s="282"/>
      <c r="DL23" s="282"/>
      <c r="DM23" s="282"/>
      <c r="DN23" s="282"/>
      <c r="DO23" s="282"/>
      <c r="DP23" s="282"/>
      <c r="DQ23" s="282"/>
      <c r="DR23" s="282"/>
      <c r="DS23" s="282"/>
      <c r="DT23" s="282"/>
      <c r="DU23" s="282"/>
      <c r="DV23" s="282"/>
      <c r="DW23" s="282"/>
      <c r="DX23" s="282"/>
      <c r="DY23" s="282"/>
      <c r="DZ23" s="282"/>
      <c r="EA23" s="282"/>
      <c r="EB23" s="282"/>
      <c r="EC23" s="282"/>
      <c r="ED23" s="282"/>
      <c r="EE23" s="282"/>
      <c r="EF23" s="282"/>
      <c r="EG23" s="282"/>
      <c r="EH23" s="282"/>
      <c r="EI23" s="282"/>
      <c r="EJ23" s="282"/>
      <c r="EK23" s="282"/>
      <c r="EL23" s="282"/>
      <c r="EM23" s="282"/>
      <c r="EN23" s="282"/>
      <c r="EO23" s="282"/>
      <c r="EP23" s="282"/>
      <c r="EQ23" s="282"/>
      <c r="ER23" s="282"/>
      <c r="ES23" s="282"/>
      <c r="ET23" s="282"/>
      <c r="EU23" s="282"/>
    </row>
    <row r="24" spans="1:151" x14ac:dyDescent="0.55000000000000004">
      <c r="A24" s="418" t="s">
        <v>14</v>
      </c>
      <c r="B24" s="419"/>
      <c r="C24" s="420"/>
      <c r="D24" s="422"/>
      <c r="E24" s="421"/>
      <c r="F24" s="422"/>
      <c r="G24" s="423"/>
      <c r="H24" s="422"/>
      <c r="I24" s="424"/>
      <c r="J24" s="422"/>
      <c r="K24" s="423"/>
      <c r="L24" s="419"/>
      <c r="M24" s="423"/>
      <c r="N24" s="420"/>
      <c r="O24" s="424"/>
      <c r="P24" s="422"/>
      <c r="Q24" s="423"/>
      <c r="R24" s="422"/>
      <c r="S24" s="604"/>
      <c r="T24" s="603"/>
      <c r="U24" s="747"/>
      <c r="V24" s="742"/>
      <c r="W24" s="717"/>
      <c r="X24" s="730"/>
      <c r="Y24" s="282"/>
      <c r="Z24" s="282"/>
      <c r="AA24" s="282"/>
      <c r="AB24" s="282"/>
      <c r="AC24" s="282"/>
      <c r="AD24" s="282"/>
      <c r="AE24" s="282"/>
      <c r="AF24" s="282"/>
      <c r="AG24" s="282"/>
      <c r="AH24" s="282"/>
      <c r="AI24" s="282"/>
      <c r="AJ24" s="282"/>
      <c r="AK24" s="282"/>
      <c r="AL24" s="282"/>
      <c r="AM24" s="282"/>
      <c r="AN24" s="282"/>
      <c r="AO24" s="282"/>
      <c r="AP24" s="282"/>
      <c r="AQ24" s="282"/>
      <c r="AR24" s="282"/>
      <c r="AS24" s="282"/>
      <c r="AT24" s="282"/>
      <c r="AU24" s="282"/>
      <c r="AV24" s="282"/>
      <c r="AW24" s="282"/>
      <c r="AX24" s="282"/>
      <c r="AY24" s="282"/>
      <c r="AZ24" s="282"/>
      <c r="BA24" s="282"/>
      <c r="BB24" s="282"/>
      <c r="BC24" s="282"/>
      <c r="BD24" s="282"/>
      <c r="BE24" s="282"/>
      <c r="BF24" s="282"/>
      <c r="BG24" s="282"/>
      <c r="BH24" s="282"/>
      <c r="BI24" s="282"/>
      <c r="BJ24" s="282"/>
      <c r="BK24" s="282"/>
      <c r="BL24" s="282"/>
      <c r="BM24" s="282"/>
      <c r="BN24" s="282"/>
      <c r="BO24" s="282"/>
      <c r="BP24" s="282"/>
      <c r="BQ24" s="282"/>
      <c r="BR24" s="282"/>
      <c r="BS24" s="282"/>
      <c r="BT24" s="282"/>
      <c r="BU24" s="282"/>
      <c r="BV24" s="282"/>
      <c r="BW24" s="282"/>
      <c r="BX24" s="282"/>
      <c r="BY24" s="282"/>
      <c r="BZ24" s="282"/>
      <c r="CA24" s="282"/>
      <c r="CB24" s="282"/>
      <c r="CC24" s="282"/>
      <c r="CD24" s="282"/>
      <c r="CE24" s="282"/>
      <c r="CF24" s="282"/>
      <c r="CG24" s="282"/>
      <c r="CH24" s="282"/>
      <c r="CI24" s="282"/>
      <c r="CJ24" s="282"/>
      <c r="CK24" s="282"/>
      <c r="CL24" s="282"/>
      <c r="CM24" s="282"/>
      <c r="CN24" s="282"/>
      <c r="CO24" s="282"/>
      <c r="CP24" s="282"/>
      <c r="CQ24" s="282"/>
      <c r="CR24" s="282"/>
      <c r="CS24" s="282"/>
      <c r="CT24" s="282"/>
      <c r="CU24" s="282"/>
      <c r="CV24" s="282"/>
      <c r="CW24" s="282"/>
      <c r="CX24" s="282"/>
      <c r="CY24" s="282"/>
      <c r="CZ24" s="282"/>
      <c r="DA24" s="282"/>
      <c r="DB24" s="282"/>
      <c r="DC24" s="282"/>
      <c r="DD24" s="282"/>
      <c r="DE24" s="282"/>
      <c r="DF24" s="282"/>
      <c r="DG24" s="282"/>
      <c r="DH24" s="282"/>
      <c r="DI24" s="282"/>
      <c r="DJ24" s="282"/>
      <c r="DK24" s="282"/>
      <c r="DL24" s="282"/>
      <c r="DM24" s="282"/>
      <c r="DN24" s="282"/>
      <c r="DO24" s="282"/>
      <c r="DP24" s="282"/>
      <c r="DQ24" s="282"/>
      <c r="DR24" s="282"/>
      <c r="DS24" s="282"/>
      <c r="DT24" s="282"/>
      <c r="DU24" s="282"/>
      <c r="DV24" s="282"/>
      <c r="DW24" s="282"/>
      <c r="DX24" s="282"/>
      <c r="DY24" s="282"/>
      <c r="DZ24" s="282"/>
      <c r="EA24" s="282"/>
      <c r="EB24" s="282"/>
      <c r="EC24" s="282"/>
      <c r="ED24" s="282"/>
      <c r="EE24" s="282"/>
      <c r="EF24" s="282"/>
      <c r="EG24" s="282"/>
      <c r="EH24" s="282"/>
      <c r="EI24" s="282"/>
      <c r="EJ24" s="282"/>
      <c r="EK24" s="282"/>
      <c r="EL24" s="282"/>
      <c r="EM24" s="282"/>
      <c r="EN24" s="282"/>
      <c r="EO24" s="282"/>
      <c r="EP24" s="282"/>
      <c r="EQ24" s="282"/>
      <c r="ER24" s="282"/>
      <c r="ES24" s="282"/>
      <c r="ET24" s="282"/>
      <c r="EU24" s="282"/>
    </row>
    <row r="25" spans="1:151" x14ac:dyDescent="0.55000000000000004">
      <c r="A25" s="396" t="s">
        <v>15</v>
      </c>
      <c r="B25" s="370" t="s">
        <v>28</v>
      </c>
      <c r="C25" s="373">
        <v>252649007</v>
      </c>
      <c r="D25" s="369">
        <v>176819.4399</v>
      </c>
      <c r="E25" s="386">
        <v>267719913</v>
      </c>
      <c r="F25" s="369">
        <v>115622</v>
      </c>
      <c r="G25" s="371">
        <v>258833928</v>
      </c>
      <c r="H25" s="386">
        <v>117606.10460000001</v>
      </c>
      <c r="I25" s="346">
        <v>259743799</v>
      </c>
      <c r="J25" s="386">
        <v>118587.4525</v>
      </c>
      <c r="K25" s="346">
        <v>258379063</v>
      </c>
      <c r="L25" s="348">
        <v>101065.0019</v>
      </c>
      <c r="M25" s="558">
        <f>'[1]Traction 2019'!$X$11+'[1]Non-Traction 2019'!$X$11</f>
        <v>352709334</v>
      </c>
      <c r="N25" s="557">
        <v>137962</v>
      </c>
      <c r="O25" s="558">
        <v>353699378</v>
      </c>
      <c r="P25" s="556">
        <v>133872</v>
      </c>
      <c r="Q25" s="558">
        <v>361482649</v>
      </c>
      <c r="R25" s="556">
        <v>136818</v>
      </c>
      <c r="S25" s="558">
        <v>339216220</v>
      </c>
      <c r="T25" s="556">
        <v>117243</v>
      </c>
      <c r="U25" s="34">
        <v>352910706</v>
      </c>
      <c r="V25" s="544">
        <v>121976</v>
      </c>
      <c r="W25" s="34">
        <v>361857614</v>
      </c>
      <c r="X25" s="544">
        <v>118142.88</v>
      </c>
      <c r="Y25" s="282"/>
      <c r="Z25" s="282"/>
      <c r="AA25" s="282"/>
      <c r="AB25" s="282"/>
      <c r="AC25" s="282"/>
      <c r="AD25" s="282"/>
      <c r="AE25" s="282"/>
      <c r="AF25" s="282"/>
      <c r="AG25" s="282"/>
      <c r="AH25" s="282"/>
      <c r="AI25" s="282"/>
      <c r="AJ25" s="282"/>
      <c r="AK25" s="282"/>
      <c r="AL25" s="282"/>
      <c r="AM25" s="282"/>
      <c r="AN25" s="282"/>
      <c r="AO25" s="282"/>
      <c r="AP25" s="282"/>
      <c r="AQ25" s="282"/>
      <c r="AR25" s="282"/>
      <c r="AS25" s="282"/>
      <c r="AT25" s="282"/>
      <c r="AU25" s="282"/>
      <c r="AV25" s="282"/>
      <c r="AW25" s="282"/>
      <c r="AX25" s="282"/>
      <c r="AY25" s="282"/>
      <c r="AZ25" s="282"/>
      <c r="BA25" s="282"/>
      <c r="BB25" s="282"/>
      <c r="BC25" s="282"/>
      <c r="BD25" s="282"/>
      <c r="BE25" s="282"/>
      <c r="BF25" s="282"/>
      <c r="BG25" s="282"/>
      <c r="BH25" s="282"/>
      <c r="BI25" s="282"/>
      <c r="BJ25" s="282"/>
      <c r="BK25" s="282"/>
      <c r="BL25" s="282"/>
      <c r="BM25" s="282"/>
      <c r="BN25" s="282"/>
      <c r="BO25" s="282"/>
      <c r="BP25" s="282"/>
      <c r="BQ25" s="282"/>
      <c r="BR25" s="282"/>
      <c r="BS25" s="282"/>
      <c r="BT25" s="282"/>
      <c r="BU25" s="282"/>
      <c r="BV25" s="282"/>
      <c r="BW25" s="282"/>
      <c r="BX25" s="282"/>
      <c r="BY25" s="282"/>
      <c r="BZ25" s="282"/>
      <c r="CA25" s="282"/>
      <c r="CB25" s="282"/>
      <c r="CC25" s="282"/>
      <c r="CD25" s="282"/>
      <c r="CE25" s="282"/>
      <c r="CF25" s="282"/>
      <c r="CG25" s="282"/>
      <c r="CH25" s="282"/>
      <c r="CI25" s="282"/>
      <c r="CJ25" s="282"/>
      <c r="CK25" s="282"/>
      <c r="CL25" s="282"/>
      <c r="CM25" s="282"/>
      <c r="CN25" s="282"/>
      <c r="CO25" s="282"/>
      <c r="CP25" s="282"/>
      <c r="CQ25" s="282"/>
      <c r="CR25" s="282"/>
      <c r="CS25" s="282"/>
      <c r="CT25" s="282"/>
      <c r="CU25" s="282"/>
      <c r="CV25" s="282"/>
      <c r="CW25" s="282"/>
      <c r="CX25" s="282"/>
      <c r="CY25" s="282"/>
      <c r="CZ25" s="282"/>
      <c r="DA25" s="282"/>
      <c r="DB25" s="282"/>
      <c r="DC25" s="282"/>
      <c r="DD25" s="282"/>
      <c r="DE25" s="282"/>
      <c r="DF25" s="282"/>
      <c r="DG25" s="282"/>
      <c r="DH25" s="282"/>
      <c r="DI25" s="282"/>
      <c r="DJ25" s="282"/>
      <c r="DK25" s="282"/>
      <c r="DL25" s="282"/>
      <c r="DM25" s="282"/>
      <c r="DN25" s="282"/>
      <c r="DO25" s="282"/>
      <c r="DP25" s="282"/>
      <c r="DQ25" s="282"/>
      <c r="DR25" s="282"/>
      <c r="DS25" s="282"/>
      <c r="DT25" s="282"/>
      <c r="DU25" s="282"/>
      <c r="DV25" s="282"/>
      <c r="DW25" s="282"/>
      <c r="DX25" s="282"/>
      <c r="DY25" s="282"/>
      <c r="DZ25" s="282"/>
      <c r="EA25" s="282"/>
      <c r="EB25" s="282"/>
      <c r="EC25" s="282"/>
      <c r="ED25" s="282"/>
      <c r="EE25" s="282"/>
      <c r="EF25" s="282"/>
      <c r="EG25" s="282"/>
      <c r="EH25" s="282"/>
      <c r="EI25" s="282"/>
      <c r="EJ25" s="282"/>
      <c r="EK25" s="282"/>
      <c r="EL25" s="282"/>
      <c r="EM25" s="282"/>
      <c r="EN25" s="282"/>
      <c r="EO25" s="282"/>
      <c r="EP25" s="282"/>
      <c r="EQ25" s="282"/>
      <c r="ER25" s="282"/>
      <c r="ES25" s="282"/>
      <c r="ET25" s="282"/>
      <c r="EU25" s="282"/>
    </row>
    <row r="26" spans="1:151" x14ac:dyDescent="0.55000000000000004">
      <c r="A26" s="396" t="s">
        <v>100</v>
      </c>
      <c r="B26" s="370" t="s">
        <v>98</v>
      </c>
      <c r="C26" s="382" t="s">
        <v>95</v>
      </c>
      <c r="D26" s="369">
        <v>8490.1154100000003</v>
      </c>
      <c r="E26" s="367" t="s">
        <v>95</v>
      </c>
      <c r="F26" s="369">
        <v>6729.2841390000003</v>
      </c>
      <c r="G26" s="380" t="s">
        <v>95</v>
      </c>
      <c r="H26" s="386">
        <v>6877.6751670000003</v>
      </c>
      <c r="I26" s="365" t="s">
        <v>95</v>
      </c>
      <c r="J26" s="386">
        <v>6901.8520479999997</v>
      </c>
      <c r="K26" s="365" t="s">
        <v>95</v>
      </c>
      <c r="L26" s="348">
        <v>9267.7443839999996</v>
      </c>
      <c r="M26" s="366" t="s">
        <v>95</v>
      </c>
      <c r="N26" s="557">
        <v>12651</v>
      </c>
      <c r="O26" s="351"/>
      <c r="P26" s="556">
        <v>6653.5</v>
      </c>
      <c r="Q26" s="351"/>
      <c r="R26" s="556">
        <v>6799.9</v>
      </c>
      <c r="S26" s="558"/>
      <c r="T26" s="556">
        <v>5264</v>
      </c>
      <c r="U26" s="541"/>
      <c r="V26" s="739">
        <v>5476.8</v>
      </c>
      <c r="W26" s="34"/>
      <c r="X26" s="544">
        <v>5765.4</v>
      </c>
      <c r="Y26" s="282"/>
      <c r="Z26" s="282"/>
      <c r="AA26" s="282"/>
      <c r="AB26" s="282"/>
      <c r="AC26" s="282"/>
      <c r="AD26" s="282"/>
      <c r="AE26" s="282"/>
      <c r="AF26" s="282"/>
      <c r="AG26" s="282"/>
      <c r="AH26" s="282"/>
      <c r="AI26" s="282"/>
      <c r="AJ26" s="282"/>
      <c r="AK26" s="282"/>
      <c r="AL26" s="282"/>
      <c r="AM26" s="282"/>
      <c r="AN26" s="282"/>
      <c r="AO26" s="282"/>
      <c r="AP26" s="282"/>
      <c r="AQ26" s="282"/>
      <c r="AR26" s="282"/>
      <c r="AS26" s="282"/>
      <c r="AT26" s="282"/>
      <c r="AU26" s="282"/>
      <c r="AV26" s="282"/>
      <c r="AW26" s="282"/>
      <c r="AX26" s="282"/>
      <c r="AY26" s="282"/>
      <c r="AZ26" s="282"/>
      <c r="BA26" s="282"/>
      <c r="BB26" s="282"/>
      <c r="BC26" s="282"/>
      <c r="BD26" s="282"/>
      <c r="BE26" s="282"/>
      <c r="BF26" s="282"/>
      <c r="BG26" s="282"/>
      <c r="BH26" s="282"/>
      <c r="BI26" s="282"/>
      <c r="BJ26" s="282"/>
      <c r="BK26" s="282"/>
      <c r="BL26" s="282"/>
      <c r="BM26" s="282"/>
      <c r="BN26" s="282"/>
      <c r="BO26" s="282"/>
      <c r="BP26" s="282"/>
      <c r="BQ26" s="282"/>
      <c r="BR26" s="282"/>
      <c r="BS26" s="282"/>
      <c r="BT26" s="282"/>
      <c r="BU26" s="282"/>
      <c r="BV26" s="282"/>
      <c r="BW26" s="282"/>
      <c r="BX26" s="282"/>
      <c r="BY26" s="282"/>
      <c r="BZ26" s="282"/>
      <c r="CA26" s="282"/>
      <c r="CB26" s="282"/>
      <c r="CC26" s="282"/>
      <c r="CD26" s="282"/>
      <c r="CE26" s="282"/>
      <c r="CF26" s="282"/>
      <c r="CG26" s="282"/>
      <c r="CH26" s="282"/>
      <c r="CI26" s="282"/>
      <c r="CJ26" s="282"/>
      <c r="CK26" s="282"/>
      <c r="CL26" s="282"/>
      <c r="CM26" s="282"/>
      <c r="CN26" s="282"/>
      <c r="CO26" s="282"/>
      <c r="CP26" s="282"/>
      <c r="CQ26" s="282"/>
      <c r="CR26" s="282"/>
      <c r="CS26" s="282"/>
      <c r="CT26" s="282"/>
      <c r="CU26" s="282"/>
      <c r="CV26" s="282"/>
      <c r="CW26" s="282"/>
      <c r="CX26" s="282"/>
      <c r="CY26" s="282"/>
      <c r="CZ26" s="282"/>
      <c r="DA26" s="282"/>
      <c r="DB26" s="282"/>
      <c r="DC26" s="282"/>
      <c r="DD26" s="282"/>
      <c r="DE26" s="282"/>
      <c r="DF26" s="282"/>
      <c r="DG26" s="282"/>
      <c r="DH26" s="282"/>
      <c r="DI26" s="282"/>
      <c r="DJ26" s="282"/>
      <c r="DK26" s="282"/>
      <c r="DL26" s="282"/>
      <c r="DM26" s="282"/>
      <c r="DN26" s="282"/>
      <c r="DO26" s="282"/>
      <c r="DP26" s="282"/>
      <c r="DQ26" s="282"/>
      <c r="DR26" s="282"/>
      <c r="DS26" s="282"/>
      <c r="DT26" s="282"/>
      <c r="DU26" s="282"/>
      <c r="DV26" s="282"/>
      <c r="DW26" s="282"/>
      <c r="DX26" s="282"/>
      <c r="DY26" s="282"/>
      <c r="DZ26" s="282"/>
      <c r="EA26" s="282"/>
      <c r="EB26" s="282"/>
      <c r="EC26" s="282"/>
      <c r="ED26" s="282"/>
      <c r="EE26" s="282"/>
      <c r="EF26" s="282"/>
      <c r="EG26" s="282"/>
      <c r="EH26" s="282"/>
      <c r="EI26" s="282"/>
      <c r="EJ26" s="282"/>
      <c r="EK26" s="282"/>
      <c r="EL26" s="282"/>
      <c r="EM26" s="282"/>
      <c r="EN26" s="282"/>
      <c r="EO26" s="282"/>
      <c r="EP26" s="282"/>
      <c r="EQ26" s="282"/>
      <c r="ER26" s="282"/>
      <c r="ES26" s="282"/>
      <c r="ET26" s="282"/>
      <c r="EU26" s="282"/>
    </row>
    <row r="27" spans="1:151" x14ac:dyDescent="0.55000000000000004">
      <c r="A27" s="396" t="s">
        <v>17</v>
      </c>
      <c r="B27" s="370" t="s">
        <v>30</v>
      </c>
      <c r="C27" s="373">
        <v>3211586924</v>
      </c>
      <c r="D27" s="376">
        <v>1359635.835</v>
      </c>
      <c r="E27" s="373">
        <v>3196707983</v>
      </c>
      <c r="F27" s="376">
        <v>1399207.862</v>
      </c>
      <c r="G27" s="371">
        <v>3182152499</v>
      </c>
      <c r="H27" s="376">
        <v>1397469.9450000001</v>
      </c>
      <c r="I27" s="371">
        <v>3161774820</v>
      </c>
      <c r="J27" s="376">
        <v>1395079.8149999999</v>
      </c>
      <c r="K27" s="371">
        <v>3454548362</v>
      </c>
      <c r="L27" s="376">
        <v>1534911.2560000001</v>
      </c>
      <c r="M27" s="371">
        <v>3465239274</v>
      </c>
      <c r="N27" s="373">
        <v>1389025.2779999999</v>
      </c>
      <c r="O27" s="374">
        <v>3559816308</v>
      </c>
      <c r="P27" s="375">
        <v>1426989.1540000001</v>
      </c>
      <c r="Q27" s="371">
        <v>3527723898</v>
      </c>
      <c r="R27" s="375">
        <v>1393535.7080000001</v>
      </c>
      <c r="S27" s="558">
        <v>3554410185.7422843</v>
      </c>
      <c r="T27" s="556">
        <v>1401421.5279999999</v>
      </c>
      <c r="U27" s="541">
        <v>3574244389.9402809</v>
      </c>
      <c r="V27" s="739">
        <v>1400756</v>
      </c>
      <c r="W27" s="34">
        <v>3633257198</v>
      </c>
      <c r="X27" s="544">
        <v>1414385</v>
      </c>
      <c r="Y27" s="282"/>
      <c r="Z27" s="282"/>
      <c r="AA27" s="282"/>
      <c r="AB27" s="282"/>
      <c r="AC27" s="282"/>
      <c r="AD27" s="282"/>
      <c r="AE27" s="282"/>
      <c r="AF27" s="282"/>
      <c r="AG27" s="282"/>
      <c r="AH27" s="282"/>
      <c r="AI27" s="282"/>
      <c r="AJ27" s="282"/>
      <c r="AK27" s="282"/>
      <c r="AL27" s="282"/>
      <c r="AM27" s="282"/>
      <c r="AN27" s="282"/>
      <c r="AO27" s="282"/>
      <c r="AP27" s="282"/>
      <c r="AQ27" s="282"/>
      <c r="AR27" s="282"/>
      <c r="AS27" s="282"/>
      <c r="AT27" s="282"/>
      <c r="AU27" s="282"/>
      <c r="AV27" s="282"/>
      <c r="AW27" s="282"/>
      <c r="AX27" s="282"/>
      <c r="AY27" s="282"/>
      <c r="AZ27" s="282"/>
      <c r="BA27" s="282"/>
      <c r="BB27" s="282"/>
      <c r="BC27" s="282"/>
      <c r="BD27" s="282"/>
      <c r="BE27" s="282"/>
      <c r="BF27" s="282"/>
      <c r="BG27" s="282"/>
      <c r="BH27" s="282"/>
      <c r="BI27" s="282"/>
      <c r="BJ27" s="282"/>
      <c r="BK27" s="282"/>
      <c r="BL27" s="282"/>
      <c r="BM27" s="282"/>
      <c r="BN27" s="282"/>
      <c r="BO27" s="282"/>
      <c r="BP27" s="282"/>
      <c r="BQ27" s="282"/>
      <c r="BR27" s="282"/>
      <c r="BS27" s="282"/>
      <c r="BT27" s="282"/>
      <c r="BU27" s="282"/>
      <c r="BV27" s="282"/>
      <c r="BW27" s="282"/>
      <c r="BX27" s="282"/>
      <c r="BY27" s="282"/>
      <c r="BZ27" s="282"/>
      <c r="CA27" s="282"/>
      <c r="CB27" s="282"/>
      <c r="CC27" s="282"/>
      <c r="CD27" s="282"/>
      <c r="CE27" s="282"/>
      <c r="CF27" s="282"/>
      <c r="CG27" s="282"/>
      <c r="CH27" s="282"/>
      <c r="CI27" s="282"/>
      <c r="CJ27" s="282"/>
      <c r="CK27" s="282"/>
      <c r="CL27" s="282"/>
      <c r="CM27" s="282"/>
      <c r="CN27" s="282"/>
      <c r="CO27" s="282"/>
      <c r="CP27" s="282"/>
      <c r="CQ27" s="282"/>
      <c r="CR27" s="282"/>
      <c r="CS27" s="282"/>
      <c r="CT27" s="282"/>
      <c r="CU27" s="282"/>
      <c r="CV27" s="282"/>
      <c r="CW27" s="282"/>
      <c r="CX27" s="282"/>
      <c r="CY27" s="282"/>
      <c r="CZ27" s="282"/>
      <c r="DA27" s="282"/>
      <c r="DB27" s="282"/>
      <c r="DC27" s="282"/>
      <c r="DD27" s="282"/>
      <c r="DE27" s="282"/>
      <c r="DF27" s="282"/>
      <c r="DG27" s="282"/>
      <c r="DH27" s="282"/>
      <c r="DI27" s="282"/>
      <c r="DJ27" s="282"/>
      <c r="DK27" s="282"/>
      <c r="DL27" s="282"/>
      <c r="DM27" s="282"/>
      <c r="DN27" s="282"/>
      <c r="DO27" s="282"/>
      <c r="DP27" s="282"/>
      <c r="DQ27" s="282"/>
      <c r="DR27" s="282"/>
      <c r="DS27" s="282"/>
      <c r="DT27" s="282"/>
      <c r="DU27" s="282"/>
      <c r="DV27" s="282"/>
      <c r="DW27" s="282"/>
      <c r="DX27" s="282"/>
      <c r="DY27" s="282"/>
      <c r="DZ27" s="282"/>
      <c r="EA27" s="282"/>
      <c r="EB27" s="282"/>
      <c r="EC27" s="282"/>
      <c r="ED27" s="282"/>
      <c r="EE27" s="282"/>
      <c r="EF27" s="282"/>
      <c r="EG27" s="282"/>
      <c r="EH27" s="282"/>
      <c r="EI27" s="282"/>
      <c r="EJ27" s="282"/>
      <c r="EK27" s="282"/>
      <c r="EL27" s="282"/>
      <c r="EM27" s="282"/>
      <c r="EN27" s="282"/>
      <c r="EO27" s="282"/>
      <c r="EP27" s="282"/>
      <c r="EQ27" s="282"/>
      <c r="ER27" s="282"/>
      <c r="ES27" s="282"/>
      <c r="ET27" s="282"/>
      <c r="EU27" s="282"/>
    </row>
    <row r="28" spans="1:151" ht="14.7" thickBot="1" x14ac:dyDescent="0.6">
      <c r="A28" s="396" t="s">
        <v>18</v>
      </c>
      <c r="B28" s="370" t="s">
        <v>30</v>
      </c>
      <c r="C28" s="373">
        <v>204631483</v>
      </c>
      <c r="D28" s="376">
        <v>412363.8812</v>
      </c>
      <c r="E28" s="373">
        <v>203683447</v>
      </c>
      <c r="F28" s="376">
        <v>375233.72070000001</v>
      </c>
      <c r="G28" s="371">
        <v>202756020</v>
      </c>
      <c r="H28" s="376">
        <v>375640.65100000001</v>
      </c>
      <c r="I28" s="371">
        <v>201457623</v>
      </c>
      <c r="J28" s="376">
        <v>373255.30359999998</v>
      </c>
      <c r="K28" s="371">
        <v>93155380</v>
      </c>
      <c r="L28" s="376">
        <v>93528.491190000001</v>
      </c>
      <c r="M28" s="371">
        <v>93443671</v>
      </c>
      <c r="N28" s="373">
        <v>93796.82243</v>
      </c>
      <c r="O28" s="374">
        <v>88911691</v>
      </c>
      <c r="P28" s="375">
        <v>103568.6231</v>
      </c>
      <c r="Q28" s="371">
        <v>96639095</v>
      </c>
      <c r="R28" s="375">
        <v>114421.8797</v>
      </c>
      <c r="S28" s="584">
        <v>89531814</v>
      </c>
      <c r="T28" s="585">
        <v>75891.501980000001</v>
      </c>
      <c r="U28" s="541">
        <v>90272610.059719443</v>
      </c>
      <c r="V28" s="743">
        <v>134551</v>
      </c>
      <c r="W28" s="718">
        <v>90290802</v>
      </c>
      <c r="X28" s="731">
        <v>132643.79999999999</v>
      </c>
      <c r="Y28" s="282"/>
      <c r="Z28" s="282"/>
      <c r="AA28" s="282"/>
      <c r="AB28" s="282"/>
      <c r="AC28" s="282"/>
      <c r="AD28" s="282"/>
      <c r="AE28" s="282"/>
      <c r="AF28" s="282"/>
      <c r="AG28" s="282"/>
      <c r="AH28" s="282"/>
      <c r="AI28" s="282"/>
      <c r="AJ28" s="282"/>
      <c r="AK28" s="282"/>
      <c r="AL28" s="282"/>
      <c r="AM28" s="282"/>
      <c r="AN28" s="282"/>
      <c r="AO28" s="282"/>
      <c r="AP28" s="282"/>
      <c r="AQ28" s="282"/>
      <c r="AR28" s="282"/>
      <c r="AS28" s="282"/>
      <c r="AT28" s="282"/>
      <c r="AU28" s="282"/>
      <c r="AV28" s="282"/>
      <c r="AW28" s="282"/>
      <c r="AX28" s="282"/>
      <c r="AY28" s="282"/>
      <c r="AZ28" s="282"/>
      <c r="BA28" s="282"/>
      <c r="BB28" s="282"/>
      <c r="BC28" s="282"/>
      <c r="BD28" s="282"/>
      <c r="BE28" s="282"/>
      <c r="BF28" s="282"/>
      <c r="BG28" s="282"/>
      <c r="BH28" s="282"/>
      <c r="BI28" s="282"/>
      <c r="BJ28" s="282"/>
      <c r="BK28" s="282"/>
      <c r="BL28" s="282"/>
      <c r="BM28" s="282"/>
      <c r="BN28" s="282"/>
      <c r="BO28" s="282"/>
      <c r="BP28" s="282"/>
      <c r="BQ28" s="282"/>
      <c r="BR28" s="282"/>
      <c r="BS28" s="282"/>
      <c r="BT28" s="282"/>
      <c r="BU28" s="282"/>
      <c r="BV28" s="282"/>
      <c r="BW28" s="282"/>
      <c r="BX28" s="282"/>
      <c r="BY28" s="282"/>
      <c r="BZ28" s="282"/>
      <c r="CA28" s="282"/>
      <c r="CB28" s="282"/>
      <c r="CC28" s="282"/>
      <c r="CD28" s="282"/>
      <c r="CE28" s="282"/>
      <c r="CF28" s="282"/>
      <c r="CG28" s="282"/>
      <c r="CH28" s="282"/>
      <c r="CI28" s="282"/>
      <c r="CJ28" s="282"/>
      <c r="CK28" s="282"/>
      <c r="CL28" s="282"/>
      <c r="CM28" s="282"/>
      <c r="CN28" s="282"/>
      <c r="CO28" s="282"/>
      <c r="CP28" s="282"/>
      <c r="CQ28" s="282"/>
      <c r="CR28" s="282"/>
      <c r="CS28" s="282"/>
      <c r="CT28" s="282"/>
      <c r="CU28" s="282"/>
      <c r="CV28" s="282"/>
      <c r="CW28" s="282"/>
      <c r="CX28" s="282"/>
      <c r="CY28" s="282"/>
      <c r="CZ28" s="282"/>
      <c r="DA28" s="282"/>
      <c r="DB28" s="282"/>
      <c r="DC28" s="282"/>
      <c r="DD28" s="282"/>
      <c r="DE28" s="282"/>
      <c r="DF28" s="282"/>
      <c r="DG28" s="282"/>
      <c r="DH28" s="282"/>
      <c r="DI28" s="282"/>
      <c r="DJ28" s="282"/>
      <c r="DK28" s="282"/>
      <c r="DL28" s="282"/>
      <c r="DM28" s="282"/>
      <c r="DN28" s="282"/>
      <c r="DO28" s="282"/>
      <c r="DP28" s="282"/>
      <c r="DQ28" s="282"/>
      <c r="DR28" s="282"/>
      <c r="DS28" s="282"/>
      <c r="DT28" s="282"/>
      <c r="DU28" s="282"/>
      <c r="DV28" s="282"/>
      <c r="DW28" s="282"/>
      <c r="DX28" s="282"/>
      <c r="DY28" s="282"/>
      <c r="DZ28" s="282"/>
      <c r="EA28" s="282"/>
      <c r="EB28" s="282"/>
      <c r="EC28" s="282"/>
      <c r="ED28" s="282"/>
      <c r="EE28" s="282"/>
      <c r="EF28" s="282"/>
      <c r="EG28" s="282"/>
      <c r="EH28" s="282"/>
      <c r="EI28" s="282"/>
      <c r="EJ28" s="282"/>
      <c r="EK28" s="282"/>
      <c r="EL28" s="282"/>
      <c r="EM28" s="282"/>
      <c r="EN28" s="282"/>
      <c r="EO28" s="282"/>
      <c r="EP28" s="282"/>
      <c r="EQ28" s="282"/>
      <c r="ER28" s="282"/>
      <c r="ES28" s="282"/>
      <c r="ET28" s="282"/>
      <c r="EU28" s="282"/>
    </row>
    <row r="29" spans="1:151" s="243" customFormat="1" ht="14.7" thickBot="1" x14ac:dyDescent="0.6">
      <c r="A29" s="425" t="s">
        <v>20</v>
      </c>
      <c r="B29" s="426"/>
      <c r="C29" s="427"/>
      <c r="D29" s="429">
        <f>SUM(D25:D28)</f>
        <v>1957309.2715099999</v>
      </c>
      <c r="E29" s="430"/>
      <c r="F29" s="429">
        <f>SUM(F25:F28)</f>
        <v>1896792.866839</v>
      </c>
      <c r="G29" s="427"/>
      <c r="H29" s="429">
        <f>SUM(H25:H28)</f>
        <v>1897594.375767</v>
      </c>
      <c r="I29" s="430"/>
      <c r="J29" s="429">
        <f>SUM(J25:J28)</f>
        <v>1893824.4231479999</v>
      </c>
      <c r="K29" s="427"/>
      <c r="L29" s="429">
        <f t="shared" ref="L29:P29" si="8">SUM(L25:L28)</f>
        <v>1738772.4934740001</v>
      </c>
      <c r="M29" s="428"/>
      <c r="N29" s="428">
        <f t="shared" si="8"/>
        <v>1633435.1004299999</v>
      </c>
      <c r="O29" s="431"/>
      <c r="P29" s="429">
        <f t="shared" si="8"/>
        <v>1671083.2771000001</v>
      </c>
      <c r="Q29" s="431"/>
      <c r="R29" s="429">
        <f>SUM(R25:R28)</f>
        <v>1651575.4876999999</v>
      </c>
      <c r="S29" s="606"/>
      <c r="T29" s="605">
        <f>SUM(T25:T28)</f>
        <v>1599820.0299799999</v>
      </c>
      <c r="U29" s="748"/>
      <c r="V29" s="432">
        <f>SUM(V25:V28)</f>
        <v>1662759.8</v>
      </c>
      <c r="W29" s="719"/>
      <c r="X29" s="732">
        <f>SUM(X25:X28)</f>
        <v>1670937.08</v>
      </c>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c r="DM29" s="280"/>
      <c r="DN29" s="280"/>
      <c r="DO29" s="280"/>
      <c r="DP29" s="280"/>
      <c r="DQ29" s="280"/>
      <c r="DR29" s="280"/>
      <c r="DS29" s="280"/>
      <c r="DT29" s="280"/>
      <c r="DU29" s="280"/>
      <c r="DV29" s="280"/>
      <c r="DW29" s="280"/>
      <c r="DX29" s="280"/>
      <c r="DY29" s="280"/>
      <c r="DZ29" s="280"/>
      <c r="EA29" s="280"/>
      <c r="EB29" s="280"/>
      <c r="EC29" s="280"/>
      <c r="ED29" s="280"/>
      <c r="EE29" s="280"/>
      <c r="EF29" s="280"/>
      <c r="EG29" s="280"/>
      <c r="EH29" s="280"/>
      <c r="EI29" s="280"/>
      <c r="EJ29" s="280"/>
      <c r="EK29" s="280"/>
      <c r="EL29" s="280"/>
      <c r="EM29" s="280"/>
      <c r="EN29" s="280"/>
      <c r="EO29" s="280"/>
      <c r="EP29" s="280"/>
      <c r="EQ29" s="280"/>
      <c r="ER29" s="280"/>
      <c r="ES29" s="280"/>
      <c r="ET29" s="280"/>
      <c r="EU29" s="280"/>
    </row>
    <row r="30" spans="1:151" x14ac:dyDescent="0.55000000000000004">
      <c r="A30" s="433" t="s">
        <v>21</v>
      </c>
      <c r="B30" s="434"/>
      <c r="C30" s="435"/>
      <c r="D30" s="437"/>
      <c r="E30" s="436"/>
      <c r="F30" s="436"/>
      <c r="G30" s="438"/>
      <c r="H30" s="436"/>
      <c r="I30" s="439"/>
      <c r="J30" s="436"/>
      <c r="K30" s="438"/>
      <c r="L30" s="435"/>
      <c r="M30" s="438"/>
      <c r="N30" s="435"/>
      <c r="O30" s="439"/>
      <c r="P30" s="437"/>
      <c r="Q30" s="439"/>
      <c r="R30" s="437"/>
      <c r="S30" s="608"/>
      <c r="T30" s="607"/>
      <c r="U30" s="608"/>
      <c r="V30" s="607"/>
      <c r="W30" s="720"/>
      <c r="X30" s="733"/>
      <c r="Y30" s="282"/>
      <c r="Z30" s="282"/>
      <c r="AA30" s="282"/>
      <c r="AB30" s="282"/>
      <c r="AC30" s="282"/>
      <c r="AD30" s="282"/>
      <c r="AE30" s="282"/>
      <c r="AF30" s="282"/>
      <c r="AG30" s="282"/>
      <c r="AH30" s="282"/>
      <c r="AI30" s="282"/>
      <c r="AJ30" s="282"/>
      <c r="AK30" s="282"/>
      <c r="AL30" s="282"/>
      <c r="AM30" s="282"/>
      <c r="AN30" s="282"/>
      <c r="AO30" s="282"/>
      <c r="AP30" s="282"/>
      <c r="AQ30" s="282"/>
      <c r="AR30" s="282"/>
      <c r="AS30" s="282"/>
      <c r="AT30" s="282"/>
      <c r="AU30" s="282"/>
      <c r="AV30" s="282"/>
      <c r="AW30" s="282"/>
      <c r="AX30" s="282"/>
      <c r="AY30" s="282"/>
      <c r="AZ30" s="282"/>
      <c r="BA30" s="282"/>
      <c r="BB30" s="282"/>
      <c r="BC30" s="282"/>
      <c r="BD30" s="282"/>
      <c r="BE30" s="282"/>
      <c r="BF30" s="282"/>
      <c r="BG30" s="282"/>
      <c r="BH30" s="282"/>
      <c r="BI30" s="282"/>
      <c r="BJ30" s="282"/>
      <c r="BK30" s="282"/>
      <c r="BL30" s="282"/>
      <c r="BM30" s="282"/>
      <c r="BN30" s="282"/>
      <c r="BO30" s="282"/>
      <c r="BP30" s="282"/>
      <c r="BQ30" s="282"/>
      <c r="BR30" s="282"/>
      <c r="BS30" s="282"/>
      <c r="BT30" s="282"/>
      <c r="BU30" s="282"/>
      <c r="BV30" s="282"/>
      <c r="BW30" s="282"/>
      <c r="BX30" s="282"/>
      <c r="BY30" s="282"/>
      <c r="BZ30" s="282"/>
      <c r="CA30" s="282"/>
      <c r="CB30" s="282"/>
      <c r="CC30" s="282"/>
      <c r="CD30" s="282"/>
      <c r="CE30" s="282"/>
      <c r="CF30" s="282"/>
      <c r="CG30" s="282"/>
      <c r="CH30" s="282"/>
      <c r="CI30" s="282"/>
      <c r="CJ30" s="282"/>
      <c r="CK30" s="282"/>
      <c r="CL30" s="282"/>
      <c r="CM30" s="282"/>
      <c r="CN30" s="282"/>
      <c r="CO30" s="282"/>
      <c r="CP30" s="282"/>
      <c r="CQ30" s="282"/>
      <c r="CR30" s="282"/>
      <c r="CS30" s="282"/>
      <c r="CT30" s="282"/>
      <c r="CU30" s="282"/>
      <c r="CV30" s="282"/>
      <c r="CW30" s="282"/>
      <c r="CX30" s="282"/>
      <c r="CY30" s="282"/>
      <c r="CZ30" s="282"/>
      <c r="DA30" s="282"/>
      <c r="DB30" s="282"/>
      <c r="DC30" s="282"/>
      <c r="DD30" s="282"/>
      <c r="DE30" s="282"/>
      <c r="DF30" s="282"/>
      <c r="DG30" s="282"/>
      <c r="DH30" s="282"/>
      <c r="DI30" s="282"/>
      <c r="DJ30" s="282"/>
      <c r="DK30" s="282"/>
      <c r="DL30" s="282"/>
      <c r="DM30" s="282"/>
      <c r="DN30" s="282"/>
      <c r="DO30" s="282"/>
      <c r="DP30" s="282"/>
      <c r="DQ30" s="282"/>
      <c r="DR30" s="282"/>
      <c r="DS30" s="282"/>
      <c r="DT30" s="282"/>
      <c r="DU30" s="282"/>
      <c r="DV30" s="282"/>
      <c r="DW30" s="282"/>
      <c r="DX30" s="282"/>
      <c r="DY30" s="282"/>
      <c r="DZ30" s="282"/>
      <c r="EA30" s="282"/>
      <c r="EB30" s="282"/>
      <c r="EC30" s="282"/>
      <c r="ED30" s="282"/>
      <c r="EE30" s="282"/>
      <c r="EF30" s="282"/>
      <c r="EG30" s="282"/>
      <c r="EH30" s="282"/>
      <c r="EI30" s="282"/>
      <c r="EJ30" s="282"/>
      <c r="EK30" s="282"/>
      <c r="EL30" s="282"/>
      <c r="EM30" s="282"/>
      <c r="EN30" s="282"/>
      <c r="EO30" s="282"/>
      <c r="EP30" s="282"/>
      <c r="EQ30" s="282"/>
      <c r="ER30" s="282"/>
      <c r="ES30" s="282"/>
      <c r="ET30" s="282"/>
      <c r="EU30" s="282"/>
    </row>
    <row r="31" spans="1:151" x14ac:dyDescent="0.55000000000000004">
      <c r="A31" s="396" t="s">
        <v>22</v>
      </c>
      <c r="B31" s="370" t="s">
        <v>24</v>
      </c>
      <c r="C31" s="373">
        <v>800000</v>
      </c>
      <c r="D31" s="376">
        <v>350481.6</v>
      </c>
      <c r="E31" s="373">
        <v>545974.00000000012</v>
      </c>
      <c r="F31" s="373">
        <v>126265.6053</v>
      </c>
      <c r="G31" s="371">
        <v>563011.07017543865</v>
      </c>
      <c r="H31" s="373">
        <v>130205.696</v>
      </c>
      <c r="I31" s="371">
        <v>538523</v>
      </c>
      <c r="J31" s="373">
        <v>124542.4371</v>
      </c>
      <c r="K31" s="371">
        <v>636513</v>
      </c>
      <c r="L31" s="376">
        <v>147204.261</v>
      </c>
      <c r="M31" s="373">
        <v>613920</v>
      </c>
      <c r="N31" s="347">
        <v>212514</v>
      </c>
      <c r="O31" s="388">
        <v>609134.11</v>
      </c>
      <c r="P31" s="352">
        <v>188346.01809999999</v>
      </c>
      <c r="Q31" s="388">
        <v>652840.78</v>
      </c>
      <c r="R31" s="387">
        <v>226083.47560000001</v>
      </c>
      <c r="S31" s="589">
        <v>705452.11</v>
      </c>
      <c r="T31" s="588">
        <v>241683.66020000001</v>
      </c>
      <c r="U31" s="541">
        <v>805957.4</v>
      </c>
      <c r="V31" s="739">
        <v>274427</v>
      </c>
      <c r="W31" s="50">
        <v>449675.67</v>
      </c>
      <c r="X31" s="734">
        <v>226050</v>
      </c>
      <c r="Y31" s="282"/>
      <c r="Z31" s="282"/>
      <c r="AA31" s="282"/>
      <c r="AB31" s="282"/>
      <c r="AC31" s="282"/>
      <c r="AD31" s="282"/>
      <c r="AE31" s="282"/>
      <c r="AF31" s="282"/>
      <c r="AG31" s="282"/>
      <c r="AH31" s="282"/>
      <c r="AI31" s="282"/>
      <c r="AJ31" s="282"/>
      <c r="AK31" s="282"/>
      <c r="AL31" s="282"/>
      <c r="AM31" s="282"/>
      <c r="AN31" s="282"/>
      <c r="AO31" s="282"/>
      <c r="AP31" s="282"/>
      <c r="AQ31" s="282"/>
      <c r="AR31" s="282"/>
      <c r="AS31" s="282"/>
      <c r="AT31" s="282"/>
      <c r="AU31" s="282"/>
      <c r="AV31" s="282"/>
      <c r="AW31" s="282"/>
      <c r="AX31" s="282"/>
      <c r="AY31" s="282"/>
      <c r="AZ31" s="282"/>
      <c r="BA31" s="282"/>
      <c r="BB31" s="282"/>
      <c r="BC31" s="282"/>
      <c r="BD31" s="282"/>
      <c r="BE31" s="282"/>
      <c r="BF31" s="282"/>
      <c r="BG31" s="282"/>
      <c r="BH31" s="282"/>
      <c r="BI31" s="282"/>
      <c r="BJ31" s="282"/>
      <c r="BK31" s="282"/>
      <c r="BL31" s="282"/>
      <c r="BM31" s="282"/>
      <c r="BN31" s="282"/>
      <c r="BO31" s="282"/>
      <c r="BP31" s="282"/>
      <c r="BQ31" s="282"/>
      <c r="BR31" s="282"/>
      <c r="BS31" s="282"/>
      <c r="BT31" s="282"/>
      <c r="BU31" s="282"/>
      <c r="BV31" s="282"/>
      <c r="BW31" s="282"/>
      <c r="BX31" s="282"/>
      <c r="BY31" s="282"/>
      <c r="BZ31" s="282"/>
      <c r="CA31" s="282"/>
      <c r="CB31" s="282"/>
      <c r="CC31" s="282"/>
      <c r="CD31" s="282"/>
      <c r="CE31" s="282"/>
      <c r="CF31" s="282"/>
      <c r="CG31" s="282"/>
      <c r="CH31" s="282"/>
      <c r="CI31" s="282"/>
      <c r="CJ31" s="282"/>
      <c r="CK31" s="282"/>
      <c r="CL31" s="282"/>
      <c r="CM31" s="282"/>
      <c r="CN31" s="282"/>
      <c r="CO31" s="282"/>
      <c r="CP31" s="282"/>
      <c r="CQ31" s="282"/>
      <c r="CR31" s="282"/>
      <c r="CS31" s="282"/>
      <c r="CT31" s="282"/>
      <c r="CU31" s="282"/>
      <c r="CV31" s="282"/>
      <c r="CW31" s="282"/>
      <c r="CX31" s="282"/>
      <c r="CY31" s="282"/>
      <c r="CZ31" s="282"/>
      <c r="DA31" s="282"/>
      <c r="DB31" s="282"/>
      <c r="DC31" s="282"/>
      <c r="DD31" s="282"/>
      <c r="DE31" s="282"/>
      <c r="DF31" s="282"/>
      <c r="DG31" s="282"/>
      <c r="DH31" s="282"/>
      <c r="DI31" s="282"/>
      <c r="DJ31" s="282"/>
      <c r="DK31" s="282"/>
      <c r="DL31" s="282"/>
      <c r="DM31" s="282"/>
      <c r="DN31" s="282"/>
      <c r="DO31" s="282"/>
      <c r="DP31" s="282"/>
      <c r="DQ31" s="282"/>
      <c r="DR31" s="282"/>
      <c r="DS31" s="282"/>
      <c r="DT31" s="282"/>
      <c r="DU31" s="282"/>
      <c r="DV31" s="282"/>
      <c r="DW31" s="282"/>
      <c r="DX31" s="282"/>
      <c r="DY31" s="282"/>
      <c r="DZ31" s="282"/>
      <c r="EA31" s="282"/>
      <c r="EB31" s="282"/>
      <c r="EC31" s="282"/>
      <c r="ED31" s="282"/>
      <c r="EE31" s="282"/>
      <c r="EF31" s="282"/>
      <c r="EG31" s="282"/>
      <c r="EH31" s="282"/>
      <c r="EI31" s="282"/>
      <c r="EJ31" s="282"/>
      <c r="EK31" s="282"/>
      <c r="EL31" s="282"/>
      <c r="EM31" s="282"/>
      <c r="EN31" s="282"/>
      <c r="EO31" s="282"/>
      <c r="EP31" s="282"/>
      <c r="EQ31" s="282"/>
      <c r="ER31" s="282"/>
      <c r="ES31" s="282"/>
      <c r="ET31" s="282"/>
      <c r="EU31" s="282"/>
    </row>
    <row r="32" spans="1:151" x14ac:dyDescent="0.55000000000000004">
      <c r="A32" s="396" t="s">
        <v>23</v>
      </c>
      <c r="B32" s="370" t="s">
        <v>24</v>
      </c>
      <c r="C32" s="392" t="s">
        <v>95</v>
      </c>
      <c r="D32" s="385" t="s">
        <v>95</v>
      </c>
      <c r="E32" s="373">
        <v>217626</v>
      </c>
      <c r="F32" s="373">
        <v>75431.347859999994</v>
      </c>
      <c r="G32" s="371">
        <v>224417</v>
      </c>
      <c r="H32" s="373">
        <v>77785.176370000001</v>
      </c>
      <c r="I32" s="371">
        <v>226732</v>
      </c>
      <c r="J32" s="373">
        <v>78587.578519999995</v>
      </c>
      <c r="K32" s="371">
        <v>212171</v>
      </c>
      <c r="L32" s="376">
        <v>73540.59031</v>
      </c>
      <c r="M32" s="373">
        <v>206521</v>
      </c>
      <c r="N32" s="373">
        <v>71582.24381</v>
      </c>
      <c r="O32" s="374">
        <v>193998.65</v>
      </c>
      <c r="P32" s="375">
        <v>67241.872080000001</v>
      </c>
      <c r="Q32" s="371">
        <v>195865.28</v>
      </c>
      <c r="R32" s="375">
        <v>67888.864700000006</v>
      </c>
      <c r="S32" s="583">
        <v>139960.85</v>
      </c>
      <c r="T32" s="585">
        <v>48511.830220000003</v>
      </c>
      <c r="U32" s="541">
        <v>16546.759999999998</v>
      </c>
      <c r="V32" s="739">
        <v>5735.3</v>
      </c>
      <c r="W32" s="50">
        <v>432041.33</v>
      </c>
      <c r="X32" s="734">
        <v>149750</v>
      </c>
      <c r="Y32" s="282"/>
      <c r="Z32" s="282"/>
      <c r="AA32" s="282"/>
      <c r="AB32" s="282"/>
      <c r="AC32" s="282"/>
      <c r="AD32" s="282"/>
      <c r="AE32" s="282"/>
      <c r="AF32" s="282"/>
      <c r="AG32" s="282"/>
      <c r="AH32" s="282"/>
      <c r="AI32" s="282"/>
      <c r="AJ32" s="282"/>
      <c r="AK32" s="282"/>
      <c r="AL32" s="282"/>
      <c r="AM32" s="282"/>
      <c r="AN32" s="282"/>
      <c r="AO32" s="282"/>
      <c r="AP32" s="282"/>
      <c r="AQ32" s="282"/>
      <c r="AR32" s="282"/>
      <c r="AS32" s="282"/>
      <c r="AT32" s="282"/>
      <c r="AU32" s="282"/>
      <c r="AV32" s="282"/>
      <c r="AW32" s="282"/>
      <c r="AX32" s="282"/>
      <c r="AY32" s="282"/>
      <c r="AZ32" s="282"/>
      <c r="BA32" s="282"/>
      <c r="BB32" s="282"/>
      <c r="BC32" s="282"/>
      <c r="BD32" s="282"/>
      <c r="BE32" s="282"/>
      <c r="BF32" s="282"/>
      <c r="BG32" s="282"/>
      <c r="BH32" s="282"/>
      <c r="BI32" s="282"/>
      <c r="BJ32" s="282"/>
      <c r="BK32" s="282"/>
      <c r="BL32" s="282"/>
      <c r="BM32" s="282"/>
      <c r="BN32" s="282"/>
      <c r="BO32" s="282"/>
      <c r="BP32" s="282"/>
      <c r="BQ32" s="282"/>
      <c r="BR32" s="282"/>
      <c r="BS32" s="282"/>
      <c r="BT32" s="282"/>
      <c r="BU32" s="282"/>
      <c r="BV32" s="282"/>
      <c r="BW32" s="282"/>
      <c r="BX32" s="282"/>
      <c r="BY32" s="282"/>
      <c r="BZ32" s="282"/>
      <c r="CA32" s="282"/>
      <c r="CB32" s="282"/>
      <c r="CC32" s="282"/>
      <c r="CD32" s="282"/>
      <c r="CE32" s="282"/>
      <c r="CF32" s="282"/>
      <c r="CG32" s="282"/>
      <c r="CH32" s="282"/>
      <c r="CI32" s="282"/>
      <c r="CJ32" s="282"/>
      <c r="CK32" s="282"/>
      <c r="CL32" s="282"/>
      <c r="CM32" s="282"/>
      <c r="CN32" s="282"/>
      <c r="CO32" s="282"/>
      <c r="CP32" s="282"/>
      <c r="CQ32" s="282"/>
      <c r="CR32" s="282"/>
      <c r="CS32" s="282"/>
      <c r="CT32" s="282"/>
      <c r="CU32" s="282"/>
      <c r="CV32" s="282"/>
      <c r="CW32" s="282"/>
      <c r="CX32" s="282"/>
      <c r="CY32" s="282"/>
      <c r="CZ32" s="282"/>
      <c r="DA32" s="282"/>
      <c r="DB32" s="282"/>
      <c r="DC32" s="282"/>
      <c r="DD32" s="282"/>
      <c r="DE32" s="282"/>
      <c r="DF32" s="282"/>
      <c r="DG32" s="282"/>
      <c r="DH32" s="282"/>
      <c r="DI32" s="282"/>
      <c r="DJ32" s="282"/>
      <c r="DK32" s="282"/>
      <c r="DL32" s="282"/>
      <c r="DM32" s="282"/>
      <c r="DN32" s="282"/>
      <c r="DO32" s="282"/>
      <c r="DP32" s="282"/>
      <c r="DQ32" s="282"/>
      <c r="DR32" s="282"/>
      <c r="DS32" s="282"/>
      <c r="DT32" s="282"/>
      <c r="DU32" s="282"/>
      <c r="DV32" s="282"/>
      <c r="DW32" s="282"/>
      <c r="DX32" s="282"/>
      <c r="DY32" s="282"/>
      <c r="DZ32" s="282"/>
      <c r="EA32" s="282"/>
      <c r="EB32" s="282"/>
      <c r="EC32" s="282"/>
      <c r="ED32" s="282"/>
      <c r="EE32" s="282"/>
      <c r="EF32" s="282"/>
      <c r="EG32" s="282"/>
      <c r="EH32" s="282"/>
      <c r="EI32" s="282"/>
      <c r="EJ32" s="282"/>
      <c r="EK32" s="282"/>
      <c r="EL32" s="282"/>
      <c r="EM32" s="282"/>
      <c r="EN32" s="282"/>
      <c r="EO32" s="282"/>
      <c r="EP32" s="282"/>
      <c r="EQ32" s="282"/>
      <c r="ER32" s="282"/>
      <c r="ES32" s="282"/>
      <c r="ET32" s="282"/>
      <c r="EU32" s="282"/>
    </row>
    <row r="33" spans="1:899" ht="14.7" thickBot="1" x14ac:dyDescent="0.6">
      <c r="A33" s="396" t="s">
        <v>143</v>
      </c>
      <c r="B33" s="370" t="s">
        <v>24</v>
      </c>
      <c r="C33" s="392" t="s">
        <v>95</v>
      </c>
      <c r="D33" s="385" t="s">
        <v>95</v>
      </c>
      <c r="E33" s="382" t="s">
        <v>95</v>
      </c>
      <c r="F33" s="384" t="s">
        <v>95</v>
      </c>
      <c r="G33" s="381" t="s">
        <v>95</v>
      </c>
      <c r="H33" s="382" t="s">
        <v>95</v>
      </c>
      <c r="I33" s="380" t="s">
        <v>95</v>
      </c>
      <c r="J33" s="385" t="s">
        <v>95</v>
      </c>
      <c r="K33" s="382" t="s">
        <v>95</v>
      </c>
      <c r="L33" s="384" t="s">
        <v>95</v>
      </c>
      <c r="M33" s="382">
        <v>5524</v>
      </c>
      <c r="N33" s="382">
        <v>384.63</v>
      </c>
      <c r="O33" s="389">
        <v>5276</v>
      </c>
      <c r="P33" s="375">
        <v>367.357328</v>
      </c>
      <c r="Q33" s="371">
        <v>5283.2</v>
      </c>
      <c r="R33" s="375">
        <v>367.85864959999998</v>
      </c>
      <c r="S33" s="583">
        <v>3737.75</v>
      </c>
      <c r="T33" s="585">
        <v>260.25205699999998</v>
      </c>
      <c r="U33" s="541">
        <v>4868</v>
      </c>
      <c r="V33" s="739">
        <v>338.95</v>
      </c>
      <c r="W33" s="50">
        <v>20437</v>
      </c>
      <c r="X33" s="734">
        <v>1423</v>
      </c>
      <c r="Y33" s="282"/>
      <c r="Z33" s="282"/>
      <c r="AA33" s="282"/>
      <c r="AB33" s="282"/>
      <c r="AC33" s="282"/>
      <c r="AD33" s="282"/>
      <c r="AE33" s="282"/>
      <c r="AF33" s="282"/>
      <c r="AG33" s="282"/>
      <c r="AH33" s="282"/>
      <c r="AI33" s="282"/>
      <c r="AJ33" s="282"/>
      <c r="AK33" s="282"/>
      <c r="AL33" s="282"/>
      <c r="AM33" s="282"/>
      <c r="AN33" s="282"/>
      <c r="AO33" s="282"/>
      <c r="AP33" s="282"/>
      <c r="AQ33" s="282"/>
      <c r="AR33" s="282"/>
      <c r="AS33" s="282"/>
      <c r="AT33" s="282"/>
      <c r="AU33" s="282"/>
      <c r="AV33" s="282"/>
      <c r="AW33" s="282"/>
      <c r="AX33" s="282"/>
      <c r="AY33" s="282"/>
      <c r="AZ33" s="282"/>
      <c r="BA33" s="282"/>
      <c r="BB33" s="282"/>
      <c r="BC33" s="282"/>
      <c r="BD33" s="282"/>
      <c r="BE33" s="282"/>
      <c r="BF33" s="282"/>
      <c r="BG33" s="282"/>
      <c r="BH33" s="282"/>
      <c r="BI33" s="282"/>
      <c r="BJ33" s="282"/>
      <c r="BK33" s="282"/>
      <c r="BL33" s="282"/>
      <c r="BM33" s="282"/>
      <c r="BN33" s="282"/>
      <c r="BO33" s="282"/>
      <c r="BP33" s="282"/>
      <c r="BQ33" s="282"/>
      <c r="BR33" s="282"/>
      <c r="BS33" s="282"/>
      <c r="BT33" s="282"/>
      <c r="BU33" s="282"/>
      <c r="BV33" s="282"/>
      <c r="BW33" s="282"/>
      <c r="BX33" s="282"/>
      <c r="BY33" s="282"/>
      <c r="BZ33" s="282"/>
      <c r="CA33" s="282"/>
      <c r="CB33" s="282"/>
      <c r="CC33" s="282"/>
      <c r="CD33" s="282"/>
      <c r="CE33" s="282"/>
      <c r="CF33" s="282"/>
      <c r="CG33" s="282"/>
      <c r="CH33" s="282"/>
      <c r="CI33" s="282"/>
      <c r="CJ33" s="282"/>
      <c r="CK33" s="282"/>
      <c r="CL33" s="282"/>
      <c r="CM33" s="282"/>
      <c r="CN33" s="282"/>
      <c r="CO33" s="282"/>
      <c r="CP33" s="282"/>
      <c r="CQ33" s="282"/>
      <c r="CR33" s="282"/>
      <c r="CS33" s="282"/>
      <c r="CT33" s="282"/>
      <c r="CU33" s="282"/>
      <c r="CV33" s="282"/>
      <c r="CW33" s="282"/>
      <c r="CX33" s="282"/>
      <c r="CY33" s="282"/>
      <c r="CZ33" s="282"/>
      <c r="DA33" s="282"/>
      <c r="DB33" s="282"/>
      <c r="DC33" s="282"/>
      <c r="DD33" s="282"/>
      <c r="DE33" s="282"/>
      <c r="DF33" s="282"/>
      <c r="DG33" s="282"/>
      <c r="DH33" s="282"/>
      <c r="DI33" s="282"/>
      <c r="DJ33" s="282"/>
      <c r="DK33" s="282"/>
      <c r="DL33" s="282"/>
      <c r="DM33" s="282"/>
      <c r="DN33" s="282"/>
      <c r="DO33" s="282"/>
      <c r="DP33" s="282"/>
      <c r="DQ33" s="282"/>
      <c r="DR33" s="282"/>
      <c r="DS33" s="282"/>
      <c r="DT33" s="282"/>
      <c r="DU33" s="282"/>
      <c r="DV33" s="282"/>
      <c r="DW33" s="282"/>
      <c r="DX33" s="282"/>
      <c r="DY33" s="282"/>
      <c r="DZ33" s="282"/>
      <c r="EA33" s="282"/>
      <c r="EB33" s="282"/>
      <c r="EC33" s="282"/>
      <c r="ED33" s="282"/>
      <c r="EE33" s="282"/>
      <c r="EF33" s="282"/>
      <c r="EG33" s="282"/>
      <c r="EH33" s="282"/>
      <c r="EI33" s="282"/>
      <c r="EJ33" s="282"/>
      <c r="EK33" s="282"/>
      <c r="EL33" s="282"/>
      <c r="EM33" s="282"/>
      <c r="EN33" s="282"/>
      <c r="EO33" s="282"/>
      <c r="EP33" s="282"/>
      <c r="EQ33" s="282"/>
      <c r="ER33" s="282"/>
      <c r="ES33" s="282"/>
      <c r="ET33" s="282"/>
      <c r="EU33" s="282"/>
    </row>
    <row r="34" spans="1:899" s="284" customFormat="1" ht="14.7" thickBot="1" x14ac:dyDescent="0.6">
      <c r="A34" s="440" t="s">
        <v>25</v>
      </c>
      <c r="B34" s="441"/>
      <c r="C34" s="443"/>
      <c r="D34" s="444">
        <f t="shared" ref="D34:T34" si="9">SUM(D31:D33)</f>
        <v>350481.6</v>
      </c>
      <c r="E34" s="443"/>
      <c r="F34" s="444">
        <f t="shared" si="9"/>
        <v>201696.95315999998</v>
      </c>
      <c r="G34" s="443"/>
      <c r="H34" s="444">
        <f t="shared" si="9"/>
        <v>207990.87237</v>
      </c>
      <c r="I34" s="443"/>
      <c r="J34" s="444">
        <f t="shared" si="9"/>
        <v>203130.01561999999</v>
      </c>
      <c r="K34" s="442"/>
      <c r="L34" s="444">
        <f t="shared" si="9"/>
        <v>220744.85131</v>
      </c>
      <c r="M34" s="443"/>
      <c r="N34" s="444">
        <f t="shared" si="9"/>
        <v>284480.87381000002</v>
      </c>
      <c r="O34" s="443"/>
      <c r="P34" s="444">
        <f>SUM(P31:P33)</f>
        <v>255955.247508</v>
      </c>
      <c r="Q34" s="443"/>
      <c r="R34" s="444">
        <f t="shared" si="9"/>
        <v>294340.19894960005</v>
      </c>
      <c r="S34" s="550"/>
      <c r="T34" s="609">
        <f t="shared" si="9"/>
        <v>290455.74247700005</v>
      </c>
      <c r="U34" s="721">
        <v>823439.63</v>
      </c>
      <c r="V34" s="445">
        <f>SUM(V31:V33)</f>
        <v>280501.25</v>
      </c>
      <c r="W34" s="721">
        <v>902154</v>
      </c>
      <c r="X34" s="445">
        <f>SUM(X31:X33)</f>
        <v>377223</v>
      </c>
      <c r="Y34" s="282"/>
      <c r="Z34" s="282"/>
      <c r="AA34" s="282"/>
      <c r="AB34" s="282"/>
      <c r="AC34" s="282"/>
      <c r="AD34" s="282"/>
      <c r="AE34" s="282"/>
      <c r="AF34" s="282"/>
      <c r="AG34" s="282"/>
      <c r="AH34" s="282"/>
      <c r="AI34" s="282"/>
      <c r="AJ34" s="282"/>
      <c r="AK34" s="282"/>
      <c r="AL34" s="282"/>
      <c r="AM34" s="282"/>
      <c r="AN34" s="282"/>
      <c r="AO34" s="282"/>
      <c r="AP34" s="282"/>
      <c r="AQ34" s="282"/>
      <c r="AR34" s="282"/>
      <c r="AS34" s="282"/>
      <c r="AT34" s="282"/>
      <c r="AU34" s="282"/>
      <c r="AV34" s="282"/>
      <c r="AW34" s="282"/>
      <c r="AX34" s="282"/>
      <c r="AY34" s="282"/>
      <c r="AZ34" s="282"/>
      <c r="BA34" s="282"/>
      <c r="BB34" s="282"/>
      <c r="BC34" s="282"/>
      <c r="BD34" s="282"/>
      <c r="BE34" s="282"/>
      <c r="BF34" s="282"/>
      <c r="BG34" s="282"/>
      <c r="BH34" s="282"/>
      <c r="BI34" s="282"/>
      <c r="BJ34" s="282"/>
      <c r="BK34" s="282"/>
      <c r="BL34" s="282"/>
      <c r="BM34" s="282"/>
      <c r="BN34" s="282"/>
      <c r="BO34" s="282"/>
      <c r="BP34" s="282"/>
      <c r="BQ34" s="282"/>
      <c r="BR34" s="282"/>
      <c r="BS34" s="282"/>
      <c r="BT34" s="282"/>
      <c r="BU34" s="282"/>
      <c r="BV34" s="282"/>
      <c r="BW34" s="282"/>
      <c r="BX34" s="282"/>
      <c r="BY34" s="282"/>
      <c r="BZ34" s="282"/>
      <c r="CA34" s="282"/>
      <c r="CB34" s="282"/>
      <c r="CC34" s="282"/>
      <c r="CD34" s="282"/>
      <c r="CE34" s="282"/>
      <c r="CF34" s="282"/>
      <c r="CG34" s="282"/>
      <c r="CH34" s="282"/>
      <c r="CI34" s="282"/>
      <c r="CJ34" s="282"/>
      <c r="CK34" s="282"/>
      <c r="CL34" s="282"/>
      <c r="CM34" s="282"/>
      <c r="CN34" s="282"/>
      <c r="CO34" s="282"/>
      <c r="CP34" s="282"/>
      <c r="CQ34" s="282"/>
      <c r="CR34" s="282"/>
      <c r="CS34" s="282"/>
      <c r="CT34" s="282"/>
      <c r="CU34" s="282"/>
      <c r="CV34" s="282"/>
      <c r="CW34" s="282"/>
      <c r="CX34" s="282"/>
      <c r="CY34" s="282"/>
      <c r="CZ34" s="282"/>
      <c r="DA34" s="282"/>
      <c r="DB34" s="282"/>
      <c r="DC34" s="282"/>
      <c r="DD34" s="282"/>
      <c r="DE34" s="282"/>
      <c r="DF34" s="282"/>
      <c r="DG34" s="282"/>
      <c r="DH34" s="282"/>
      <c r="DI34" s="282"/>
      <c r="DJ34" s="282"/>
      <c r="DK34" s="282"/>
      <c r="DL34" s="282"/>
      <c r="DM34" s="282"/>
      <c r="DN34" s="282"/>
      <c r="DO34" s="282"/>
      <c r="DP34" s="282"/>
      <c r="DQ34" s="282"/>
      <c r="DR34" s="282"/>
      <c r="DS34" s="282"/>
      <c r="DT34" s="282"/>
      <c r="DU34" s="282"/>
      <c r="DV34" s="282"/>
      <c r="DW34" s="282"/>
      <c r="DX34" s="282"/>
      <c r="DY34" s="282"/>
      <c r="DZ34" s="282"/>
      <c r="EA34" s="282"/>
      <c r="EB34" s="282"/>
      <c r="EC34" s="282"/>
      <c r="ED34" s="282"/>
      <c r="EE34" s="282"/>
      <c r="EF34" s="282"/>
      <c r="EG34" s="282"/>
      <c r="EH34" s="282"/>
      <c r="EI34" s="282"/>
      <c r="EJ34" s="282"/>
      <c r="EK34" s="282"/>
      <c r="EL34" s="282"/>
      <c r="EM34" s="282"/>
      <c r="EN34" s="282"/>
      <c r="EO34" s="282"/>
      <c r="EP34" s="282"/>
      <c r="EQ34" s="282"/>
      <c r="ER34" s="282"/>
      <c r="ES34" s="282"/>
      <c r="ET34" s="282"/>
      <c r="EU34" s="282"/>
    </row>
    <row r="35" spans="1:899" s="285" customFormat="1" x14ac:dyDescent="0.55000000000000004">
      <c r="A35" s="446" t="s">
        <v>139</v>
      </c>
      <c r="B35" s="447"/>
      <c r="C35" s="448"/>
      <c r="D35" s="450"/>
      <c r="E35" s="449"/>
      <c r="F35" s="450"/>
      <c r="G35" s="448"/>
      <c r="H35" s="450"/>
      <c r="I35" s="449"/>
      <c r="J35" s="450"/>
      <c r="K35" s="448"/>
      <c r="L35" s="447"/>
      <c r="M35" s="448"/>
      <c r="N35" s="447"/>
      <c r="O35" s="449"/>
      <c r="P35" s="450"/>
      <c r="Q35" s="449"/>
      <c r="R35" s="450"/>
      <c r="S35" s="548"/>
      <c r="T35" s="610"/>
      <c r="U35" s="749"/>
      <c r="V35" s="744"/>
      <c r="W35" s="722"/>
      <c r="X35" s="735"/>
      <c r="Y35" s="282"/>
      <c r="Z35" s="282"/>
      <c r="AA35" s="282"/>
      <c r="AB35" s="282"/>
      <c r="AC35" s="282"/>
      <c r="AD35" s="282"/>
      <c r="AE35" s="282"/>
      <c r="AF35" s="282"/>
      <c r="AG35" s="282"/>
      <c r="AH35" s="282"/>
      <c r="AI35" s="282"/>
      <c r="AJ35" s="282"/>
      <c r="AK35" s="282"/>
      <c r="AL35" s="282"/>
      <c r="AM35" s="282"/>
      <c r="AN35" s="282"/>
      <c r="AO35" s="282"/>
      <c r="AP35" s="282"/>
      <c r="AQ35" s="282"/>
      <c r="AR35" s="282"/>
      <c r="AS35" s="282"/>
      <c r="AT35" s="282"/>
      <c r="AU35" s="282"/>
      <c r="AV35" s="282"/>
      <c r="AW35" s="282"/>
      <c r="AX35" s="282"/>
      <c r="AY35" s="282"/>
      <c r="AZ35" s="282"/>
      <c r="BA35" s="282"/>
      <c r="BB35" s="282"/>
      <c r="BC35" s="282"/>
      <c r="BD35" s="282"/>
      <c r="BE35" s="282"/>
      <c r="BF35" s="282"/>
      <c r="BG35" s="282"/>
      <c r="BH35" s="282"/>
      <c r="BI35" s="282"/>
      <c r="BJ35" s="282"/>
      <c r="BK35" s="282"/>
      <c r="BL35" s="282"/>
      <c r="BM35" s="282"/>
      <c r="BN35" s="282"/>
      <c r="BO35" s="282"/>
      <c r="BP35" s="282"/>
      <c r="BQ35" s="282"/>
      <c r="BR35" s="282"/>
      <c r="BS35" s="282"/>
      <c r="BT35" s="282"/>
      <c r="BU35" s="282"/>
      <c r="BV35" s="282"/>
      <c r="BW35" s="282"/>
      <c r="BX35" s="282"/>
      <c r="BY35" s="282"/>
      <c r="BZ35" s="282"/>
      <c r="CA35" s="282"/>
      <c r="CB35" s="282"/>
      <c r="CC35" s="282"/>
      <c r="CD35" s="282"/>
      <c r="CE35" s="282"/>
      <c r="CF35" s="282"/>
      <c r="CG35" s="282"/>
      <c r="CH35" s="282"/>
      <c r="CI35" s="282"/>
      <c r="CJ35" s="282"/>
      <c r="CK35" s="282"/>
      <c r="CL35" s="282"/>
      <c r="CM35" s="282"/>
      <c r="CN35" s="282"/>
      <c r="CO35" s="282"/>
      <c r="CP35" s="282"/>
      <c r="CQ35" s="282"/>
      <c r="CR35" s="282"/>
      <c r="CS35" s="282"/>
      <c r="CT35" s="282"/>
      <c r="CU35" s="282"/>
      <c r="CV35" s="282"/>
      <c r="CW35" s="282"/>
      <c r="CX35" s="282"/>
      <c r="CY35" s="282"/>
      <c r="CZ35" s="282"/>
      <c r="DA35" s="282"/>
      <c r="DB35" s="282"/>
      <c r="DC35" s="282"/>
      <c r="DD35" s="282"/>
      <c r="DE35" s="282"/>
      <c r="DF35" s="282"/>
      <c r="DG35" s="282"/>
      <c r="DH35" s="282"/>
      <c r="DI35" s="282"/>
      <c r="DJ35" s="282"/>
      <c r="DK35" s="282"/>
      <c r="DL35" s="282"/>
      <c r="DM35" s="282"/>
      <c r="DN35" s="282"/>
      <c r="DO35" s="282"/>
      <c r="DP35" s="282"/>
      <c r="DQ35" s="282"/>
      <c r="DR35" s="282"/>
      <c r="DS35" s="282"/>
      <c r="DT35" s="282"/>
      <c r="DU35" s="282"/>
      <c r="DV35" s="282"/>
      <c r="DW35" s="282"/>
      <c r="DX35" s="282"/>
      <c r="DY35" s="282"/>
      <c r="DZ35" s="282"/>
      <c r="EA35" s="282"/>
      <c r="EB35" s="282"/>
      <c r="EC35" s="282"/>
      <c r="ED35" s="282"/>
      <c r="EE35" s="282"/>
      <c r="EF35" s="282"/>
      <c r="EG35" s="282"/>
      <c r="EH35" s="282"/>
      <c r="EI35" s="282"/>
      <c r="EJ35" s="282"/>
      <c r="EK35" s="282"/>
      <c r="EL35" s="282"/>
      <c r="EM35" s="282"/>
      <c r="EN35" s="282"/>
      <c r="EO35" s="282"/>
      <c r="EP35" s="282"/>
      <c r="EQ35" s="282"/>
      <c r="ER35" s="282"/>
      <c r="ES35" s="282"/>
      <c r="ET35" s="282"/>
      <c r="EU35" s="282"/>
      <c r="EV35" s="282"/>
      <c r="EW35" s="282"/>
      <c r="EX35" s="282"/>
      <c r="EY35" s="282"/>
      <c r="EZ35" s="282"/>
      <c r="FA35" s="282"/>
      <c r="FB35" s="282"/>
      <c r="FC35" s="282"/>
      <c r="FD35" s="282"/>
      <c r="FE35" s="282"/>
      <c r="FF35" s="282"/>
      <c r="FG35" s="282"/>
      <c r="FH35" s="282"/>
      <c r="FI35" s="282"/>
      <c r="FJ35" s="282"/>
      <c r="FK35" s="282"/>
      <c r="FL35" s="282"/>
      <c r="FM35" s="282"/>
      <c r="FN35" s="282"/>
      <c r="FO35" s="282"/>
      <c r="FP35" s="282"/>
      <c r="FQ35" s="282"/>
      <c r="FR35" s="282"/>
      <c r="FS35" s="282"/>
      <c r="FT35" s="282"/>
      <c r="FU35" s="282"/>
      <c r="FV35" s="282"/>
      <c r="FW35" s="282"/>
      <c r="FX35" s="282"/>
      <c r="FY35" s="282"/>
      <c r="FZ35" s="282"/>
      <c r="GA35" s="282"/>
      <c r="GB35" s="282"/>
      <c r="GC35" s="282"/>
      <c r="GD35" s="282"/>
      <c r="GE35" s="282"/>
      <c r="GF35" s="282"/>
      <c r="GG35" s="282"/>
      <c r="GH35" s="282"/>
      <c r="GI35" s="282"/>
      <c r="GJ35" s="282"/>
      <c r="GK35" s="282"/>
      <c r="GL35" s="282"/>
      <c r="GM35" s="282"/>
      <c r="GN35" s="282"/>
      <c r="GO35" s="282"/>
      <c r="GP35" s="282"/>
      <c r="GQ35" s="282"/>
      <c r="GR35" s="282"/>
      <c r="GS35" s="282"/>
      <c r="GT35" s="282"/>
      <c r="GU35" s="282"/>
      <c r="GV35" s="282"/>
      <c r="GW35" s="282"/>
      <c r="GX35" s="282"/>
      <c r="GY35" s="282"/>
      <c r="GZ35" s="282"/>
      <c r="HA35" s="282"/>
      <c r="HB35" s="282"/>
      <c r="HC35" s="282"/>
      <c r="HD35" s="282"/>
      <c r="HE35" s="282"/>
      <c r="HF35" s="282"/>
      <c r="HG35" s="282"/>
      <c r="HH35" s="282"/>
      <c r="HI35" s="282"/>
      <c r="HJ35" s="282"/>
      <c r="HK35" s="282"/>
      <c r="HL35" s="282"/>
      <c r="HM35" s="282"/>
      <c r="HN35" s="282"/>
      <c r="HO35" s="282"/>
      <c r="HP35" s="282"/>
      <c r="HQ35" s="282"/>
      <c r="HR35" s="282"/>
      <c r="HS35" s="282"/>
      <c r="HT35" s="282"/>
      <c r="HU35" s="282"/>
      <c r="HV35" s="282"/>
      <c r="HW35" s="282"/>
      <c r="HX35" s="282"/>
      <c r="HY35" s="282"/>
      <c r="HZ35" s="282"/>
      <c r="IA35" s="282"/>
      <c r="IB35" s="282"/>
      <c r="IC35" s="282"/>
      <c r="ID35" s="282"/>
      <c r="IE35" s="282"/>
      <c r="IF35" s="282"/>
      <c r="IG35" s="282"/>
      <c r="IH35" s="282"/>
      <c r="II35" s="282"/>
      <c r="IJ35" s="282"/>
      <c r="IK35" s="282"/>
      <c r="IL35" s="282"/>
      <c r="IM35" s="282"/>
      <c r="IN35" s="282"/>
      <c r="IO35" s="282"/>
      <c r="IP35" s="282"/>
      <c r="IQ35" s="282"/>
      <c r="IR35" s="282"/>
      <c r="IS35" s="282"/>
      <c r="IT35" s="282"/>
      <c r="IU35" s="282"/>
      <c r="IV35" s="282"/>
      <c r="IW35" s="282"/>
      <c r="IX35" s="282"/>
      <c r="IY35" s="282"/>
      <c r="IZ35" s="282"/>
      <c r="JA35" s="282"/>
      <c r="JB35" s="282"/>
      <c r="JC35" s="282"/>
      <c r="JD35" s="282"/>
      <c r="JE35" s="282"/>
      <c r="JF35" s="282"/>
      <c r="JG35" s="282"/>
      <c r="JH35" s="282"/>
      <c r="JI35" s="282"/>
      <c r="JJ35" s="282"/>
      <c r="JK35" s="282"/>
      <c r="JL35" s="282"/>
      <c r="JM35" s="282"/>
      <c r="JN35" s="282"/>
      <c r="JO35" s="282"/>
      <c r="JP35" s="282"/>
      <c r="JQ35" s="282"/>
      <c r="JR35" s="282"/>
      <c r="JS35" s="282"/>
      <c r="JT35" s="282"/>
      <c r="JU35" s="282"/>
      <c r="JV35" s="282"/>
      <c r="JW35" s="282"/>
      <c r="JX35" s="282"/>
      <c r="JY35" s="282"/>
      <c r="JZ35" s="282"/>
      <c r="KA35" s="282"/>
      <c r="KB35" s="282"/>
      <c r="KC35" s="282"/>
      <c r="KD35" s="282"/>
      <c r="KE35" s="282"/>
      <c r="KF35" s="282"/>
      <c r="KG35" s="282"/>
      <c r="KH35" s="282"/>
      <c r="KI35" s="282"/>
      <c r="KJ35" s="282"/>
      <c r="KK35" s="282"/>
      <c r="KL35" s="282"/>
      <c r="KM35" s="282"/>
      <c r="KN35" s="282"/>
      <c r="KO35" s="282"/>
      <c r="KP35" s="282"/>
      <c r="KQ35" s="282"/>
      <c r="KR35" s="282"/>
      <c r="KS35" s="282"/>
      <c r="KT35" s="282"/>
      <c r="KU35" s="282"/>
      <c r="KV35" s="282"/>
      <c r="KW35" s="282"/>
      <c r="KX35" s="282"/>
      <c r="KY35" s="282"/>
      <c r="KZ35" s="282"/>
      <c r="LA35" s="282"/>
      <c r="LB35" s="282"/>
      <c r="LC35" s="282"/>
      <c r="LD35" s="282"/>
      <c r="LE35" s="282"/>
      <c r="LF35" s="282"/>
      <c r="LG35" s="282"/>
      <c r="LH35" s="282"/>
      <c r="LI35" s="282"/>
      <c r="LJ35" s="282"/>
      <c r="LK35" s="282"/>
      <c r="LL35" s="282"/>
      <c r="LM35" s="282"/>
      <c r="LN35" s="282"/>
      <c r="LO35" s="282"/>
      <c r="LP35" s="282"/>
      <c r="LQ35" s="282"/>
      <c r="LR35" s="282"/>
      <c r="LS35" s="282"/>
      <c r="LT35" s="282"/>
      <c r="LU35" s="282"/>
      <c r="LV35" s="282"/>
      <c r="LW35" s="282"/>
      <c r="LX35" s="282"/>
      <c r="LY35" s="282"/>
      <c r="LZ35" s="282"/>
      <c r="MA35" s="282"/>
      <c r="MB35" s="282"/>
      <c r="MC35" s="282"/>
      <c r="MD35" s="282"/>
      <c r="ME35" s="282"/>
      <c r="MF35" s="282"/>
      <c r="MG35" s="282"/>
      <c r="MH35" s="282"/>
      <c r="MI35" s="282"/>
      <c r="MJ35" s="282"/>
      <c r="MK35" s="282"/>
      <c r="ML35" s="282"/>
      <c r="MM35" s="282"/>
      <c r="MN35" s="282"/>
      <c r="MO35" s="282"/>
      <c r="MP35" s="282"/>
      <c r="MQ35" s="282"/>
      <c r="MR35" s="282"/>
      <c r="MS35" s="282"/>
      <c r="MT35" s="282"/>
      <c r="MU35" s="282"/>
      <c r="MV35" s="282"/>
      <c r="MW35" s="282"/>
      <c r="MX35" s="282"/>
      <c r="MY35" s="282"/>
      <c r="MZ35" s="282"/>
      <c r="NA35" s="282"/>
      <c r="NB35" s="282"/>
      <c r="NC35" s="282"/>
      <c r="ND35" s="282"/>
      <c r="NE35" s="282"/>
      <c r="NF35" s="282"/>
      <c r="NG35" s="282"/>
      <c r="NH35" s="282"/>
      <c r="NI35" s="282"/>
      <c r="NJ35" s="282"/>
      <c r="NK35" s="282"/>
      <c r="NL35" s="282"/>
      <c r="NM35" s="282"/>
      <c r="NN35" s="282"/>
      <c r="NO35" s="282"/>
      <c r="NP35" s="282"/>
      <c r="NQ35" s="282"/>
      <c r="NR35" s="282"/>
      <c r="NS35" s="282"/>
      <c r="NT35" s="282"/>
      <c r="NU35" s="282"/>
      <c r="NV35" s="282"/>
      <c r="NW35" s="282"/>
      <c r="NX35" s="282"/>
      <c r="NY35" s="282"/>
      <c r="NZ35" s="282"/>
      <c r="OA35" s="282"/>
      <c r="OB35" s="282"/>
      <c r="OC35" s="282"/>
      <c r="OD35" s="282"/>
      <c r="OE35" s="282"/>
      <c r="OF35" s="282"/>
      <c r="OG35" s="282"/>
      <c r="OH35" s="282"/>
      <c r="OI35" s="282"/>
      <c r="OJ35" s="282"/>
      <c r="OK35" s="282"/>
      <c r="OL35" s="282"/>
      <c r="OM35" s="282"/>
      <c r="ON35" s="282"/>
      <c r="OO35" s="282"/>
      <c r="OP35" s="282"/>
      <c r="OQ35" s="282"/>
      <c r="OR35" s="282"/>
      <c r="OS35" s="282"/>
      <c r="OT35" s="282"/>
      <c r="OU35" s="282"/>
      <c r="OV35" s="282"/>
      <c r="OW35" s="282"/>
      <c r="OX35" s="282"/>
      <c r="OY35" s="282"/>
      <c r="OZ35" s="282"/>
      <c r="PA35" s="282"/>
      <c r="PB35" s="282"/>
      <c r="PC35" s="282"/>
      <c r="PD35" s="282"/>
      <c r="PE35" s="282"/>
      <c r="PF35" s="282"/>
      <c r="PG35" s="282"/>
      <c r="PH35" s="282"/>
      <c r="PI35" s="282"/>
      <c r="PJ35" s="282"/>
      <c r="PK35" s="282"/>
      <c r="PL35" s="282"/>
      <c r="PM35" s="282"/>
      <c r="PN35" s="282"/>
      <c r="PO35" s="282"/>
      <c r="PP35" s="282"/>
      <c r="PQ35" s="282"/>
      <c r="PR35" s="282"/>
      <c r="PS35" s="282"/>
      <c r="PT35" s="282"/>
      <c r="PU35" s="282"/>
      <c r="PV35" s="282"/>
      <c r="PW35" s="282"/>
      <c r="PX35" s="282"/>
      <c r="PY35" s="282"/>
      <c r="PZ35" s="282"/>
      <c r="QA35" s="282"/>
      <c r="QB35" s="282"/>
      <c r="QC35" s="282"/>
      <c r="QD35" s="282"/>
      <c r="QE35" s="282"/>
      <c r="QF35" s="282"/>
      <c r="QG35" s="282"/>
      <c r="QH35" s="282"/>
      <c r="QI35" s="282"/>
      <c r="QJ35" s="282"/>
      <c r="QK35" s="282"/>
      <c r="QL35" s="282"/>
      <c r="QM35" s="282"/>
      <c r="QN35" s="282"/>
      <c r="QO35" s="282"/>
      <c r="QP35" s="282"/>
      <c r="QQ35" s="282"/>
      <c r="QR35" s="282"/>
      <c r="QS35" s="282"/>
      <c r="QT35" s="282"/>
      <c r="QU35" s="282"/>
      <c r="QV35" s="282"/>
      <c r="QW35" s="282"/>
      <c r="QX35" s="282"/>
      <c r="QY35" s="282"/>
      <c r="QZ35" s="282"/>
      <c r="RA35" s="282"/>
      <c r="RB35" s="282"/>
      <c r="RC35" s="282"/>
      <c r="RD35" s="282"/>
      <c r="RE35" s="282"/>
      <c r="RF35" s="282"/>
      <c r="RG35" s="282"/>
      <c r="RH35" s="282"/>
      <c r="RI35" s="282"/>
      <c r="RJ35" s="282"/>
      <c r="RK35" s="282"/>
      <c r="RL35" s="282"/>
      <c r="RM35" s="282"/>
      <c r="RN35" s="282"/>
      <c r="RO35" s="282"/>
      <c r="RP35" s="282"/>
      <c r="RQ35" s="282"/>
      <c r="RR35" s="282"/>
      <c r="RS35" s="282"/>
      <c r="RT35" s="282"/>
      <c r="RU35" s="282"/>
      <c r="RV35" s="282"/>
      <c r="RW35" s="282"/>
      <c r="RX35" s="282"/>
      <c r="RY35" s="282"/>
      <c r="RZ35" s="282"/>
      <c r="SA35" s="282"/>
      <c r="SB35" s="282"/>
      <c r="SC35" s="282"/>
      <c r="SD35" s="282"/>
      <c r="SE35" s="282"/>
      <c r="SF35" s="282"/>
      <c r="SG35" s="282"/>
      <c r="SH35" s="282"/>
      <c r="SI35" s="282"/>
      <c r="SJ35" s="282"/>
      <c r="SK35" s="282"/>
      <c r="SL35" s="282"/>
      <c r="SM35" s="282"/>
      <c r="SN35" s="282"/>
      <c r="SO35" s="282"/>
      <c r="SP35" s="282"/>
      <c r="SQ35" s="282"/>
      <c r="SR35" s="282"/>
      <c r="SS35" s="282"/>
      <c r="ST35" s="282"/>
      <c r="SU35" s="282"/>
      <c r="SV35" s="282"/>
      <c r="SW35" s="282"/>
      <c r="SX35" s="282"/>
      <c r="SY35" s="282"/>
      <c r="SZ35" s="282"/>
      <c r="TA35" s="282"/>
      <c r="TB35" s="282"/>
      <c r="TC35" s="282"/>
      <c r="TD35" s="282"/>
      <c r="TE35" s="282"/>
      <c r="TF35" s="282"/>
      <c r="TG35" s="282"/>
      <c r="TH35" s="282"/>
      <c r="TI35" s="282"/>
      <c r="TJ35" s="282"/>
      <c r="TK35" s="282"/>
      <c r="TL35" s="282"/>
      <c r="TM35" s="282"/>
      <c r="TN35" s="282"/>
      <c r="TO35" s="282"/>
      <c r="TP35" s="282"/>
      <c r="TQ35" s="282"/>
      <c r="TR35" s="282"/>
      <c r="TS35" s="282"/>
      <c r="TT35" s="282"/>
      <c r="TU35" s="282"/>
      <c r="TV35" s="282"/>
      <c r="TW35" s="282"/>
      <c r="TX35" s="282"/>
      <c r="TY35" s="282"/>
      <c r="TZ35" s="282"/>
      <c r="UA35" s="282"/>
      <c r="UB35" s="282"/>
      <c r="UC35" s="282"/>
      <c r="UD35" s="282"/>
      <c r="UE35" s="282"/>
      <c r="UF35" s="282"/>
      <c r="UG35" s="282"/>
      <c r="UH35" s="282"/>
      <c r="UI35" s="282"/>
      <c r="UJ35" s="282"/>
      <c r="UK35" s="282"/>
      <c r="UL35" s="282"/>
      <c r="UM35" s="282"/>
      <c r="UN35" s="282"/>
      <c r="UO35" s="282"/>
      <c r="UP35" s="282"/>
      <c r="UQ35" s="282"/>
      <c r="UR35" s="282"/>
      <c r="US35" s="282"/>
      <c r="UT35" s="282"/>
      <c r="UU35" s="282"/>
      <c r="UV35" s="282"/>
      <c r="UW35" s="282"/>
      <c r="UX35" s="282"/>
      <c r="UY35" s="282"/>
      <c r="UZ35" s="282"/>
      <c r="VA35" s="282"/>
      <c r="VB35" s="282"/>
      <c r="VC35" s="282"/>
      <c r="VD35" s="282"/>
      <c r="VE35" s="282"/>
      <c r="VF35" s="282"/>
      <c r="VG35" s="282"/>
      <c r="VH35" s="282"/>
      <c r="VI35" s="282"/>
      <c r="VJ35" s="282"/>
      <c r="VK35" s="282"/>
      <c r="VL35" s="282"/>
      <c r="VM35" s="282"/>
      <c r="VN35" s="282"/>
      <c r="VO35" s="282"/>
      <c r="VP35" s="282"/>
      <c r="VQ35" s="282"/>
      <c r="VR35" s="282"/>
      <c r="VS35" s="282"/>
      <c r="VT35" s="282"/>
      <c r="VU35" s="282"/>
      <c r="VV35" s="282"/>
      <c r="VW35" s="282"/>
      <c r="VX35" s="282"/>
      <c r="VY35" s="282"/>
      <c r="VZ35" s="282"/>
      <c r="WA35" s="282"/>
      <c r="WB35" s="282"/>
      <c r="WC35" s="282"/>
      <c r="WD35" s="282"/>
      <c r="WE35" s="282"/>
      <c r="WF35" s="282"/>
      <c r="WG35" s="282"/>
      <c r="WH35" s="282"/>
      <c r="WI35" s="282"/>
      <c r="WJ35" s="282"/>
      <c r="WK35" s="282"/>
      <c r="WL35" s="282"/>
      <c r="WM35" s="282"/>
      <c r="WN35" s="282"/>
      <c r="WO35" s="282"/>
      <c r="WP35" s="282"/>
      <c r="WQ35" s="282"/>
      <c r="WR35" s="282"/>
      <c r="WS35" s="282"/>
      <c r="WT35" s="282"/>
      <c r="WU35" s="282"/>
      <c r="WV35" s="282"/>
      <c r="WW35" s="282"/>
      <c r="WX35" s="282"/>
      <c r="WY35" s="282"/>
      <c r="WZ35" s="282"/>
      <c r="XA35" s="282"/>
      <c r="XB35" s="282"/>
      <c r="XC35" s="282"/>
      <c r="XD35" s="282"/>
      <c r="XE35" s="282"/>
      <c r="XF35" s="282"/>
      <c r="XG35" s="282"/>
      <c r="XH35" s="282"/>
      <c r="XI35" s="282"/>
      <c r="XJ35" s="282"/>
      <c r="XK35" s="282"/>
      <c r="XL35" s="282"/>
      <c r="XM35" s="282"/>
      <c r="XN35" s="282"/>
      <c r="XO35" s="282"/>
      <c r="XP35" s="282"/>
      <c r="XQ35" s="282"/>
      <c r="XR35" s="282"/>
      <c r="XS35" s="282"/>
      <c r="XT35" s="282"/>
      <c r="XU35" s="282"/>
      <c r="XV35" s="282"/>
      <c r="XW35" s="282"/>
      <c r="XX35" s="282"/>
      <c r="XY35" s="282"/>
      <c r="XZ35" s="282"/>
      <c r="YA35" s="282"/>
      <c r="YB35" s="282"/>
      <c r="YC35" s="282"/>
      <c r="YD35" s="282"/>
      <c r="YE35" s="282"/>
      <c r="YF35" s="282"/>
      <c r="YG35" s="282"/>
      <c r="YH35" s="282"/>
      <c r="YI35" s="282"/>
      <c r="YJ35" s="282"/>
      <c r="YK35" s="282"/>
      <c r="YL35" s="282"/>
      <c r="YM35" s="282"/>
      <c r="YN35" s="282"/>
      <c r="YO35" s="282"/>
      <c r="YP35" s="282"/>
      <c r="YQ35" s="282"/>
      <c r="YR35" s="282"/>
      <c r="YS35" s="282"/>
      <c r="YT35" s="282"/>
      <c r="YU35" s="282"/>
      <c r="YV35" s="282"/>
      <c r="YW35" s="282"/>
      <c r="YX35" s="282"/>
      <c r="YY35" s="282"/>
      <c r="YZ35" s="282"/>
      <c r="ZA35" s="282"/>
      <c r="ZB35" s="282"/>
      <c r="ZC35" s="282"/>
      <c r="ZD35" s="282"/>
      <c r="ZE35" s="282"/>
      <c r="ZF35" s="282"/>
      <c r="ZG35" s="282"/>
      <c r="ZH35" s="282"/>
      <c r="ZI35" s="282"/>
      <c r="ZJ35" s="282"/>
      <c r="ZK35" s="282"/>
      <c r="ZL35" s="282"/>
      <c r="ZM35" s="282"/>
      <c r="ZN35" s="282"/>
      <c r="ZO35" s="282"/>
      <c r="ZP35" s="282"/>
      <c r="ZQ35" s="282"/>
      <c r="ZR35" s="282"/>
      <c r="ZS35" s="282"/>
      <c r="ZT35" s="282"/>
      <c r="ZU35" s="282"/>
      <c r="ZV35" s="282"/>
      <c r="ZW35" s="282"/>
      <c r="ZX35" s="282"/>
      <c r="ZY35" s="282"/>
      <c r="ZZ35" s="282"/>
      <c r="AAA35" s="282"/>
      <c r="AAB35" s="282"/>
      <c r="AAC35" s="282"/>
      <c r="AAD35" s="282"/>
      <c r="AAE35" s="282"/>
      <c r="AAF35" s="282"/>
      <c r="AAG35" s="282"/>
      <c r="AAH35" s="282"/>
      <c r="AAI35" s="282"/>
      <c r="AAJ35" s="282"/>
      <c r="AAK35" s="282"/>
      <c r="AAL35" s="282"/>
      <c r="AAM35" s="282"/>
      <c r="AAN35" s="282"/>
      <c r="AAO35" s="282"/>
      <c r="AAP35" s="282"/>
      <c r="AAQ35" s="282"/>
      <c r="AAR35" s="282"/>
      <c r="AAS35" s="282"/>
      <c r="AAT35" s="282"/>
      <c r="AAU35" s="282"/>
      <c r="AAV35" s="282"/>
      <c r="AAW35" s="282"/>
      <c r="AAX35" s="282"/>
      <c r="AAY35" s="282"/>
      <c r="AAZ35" s="282"/>
      <c r="ABA35" s="282"/>
      <c r="ABB35" s="282"/>
      <c r="ABC35" s="282"/>
      <c r="ABD35" s="282"/>
      <c r="ABE35" s="282"/>
      <c r="ABF35" s="282"/>
      <c r="ABG35" s="282"/>
      <c r="ABH35" s="282"/>
      <c r="ABI35" s="282"/>
      <c r="ABJ35" s="282"/>
      <c r="ABK35" s="282"/>
      <c r="ABL35" s="282"/>
      <c r="ABM35" s="282"/>
      <c r="ABN35" s="282"/>
      <c r="ABO35" s="282"/>
      <c r="ABP35" s="282"/>
      <c r="ABQ35" s="282"/>
      <c r="ABR35" s="282"/>
      <c r="ABS35" s="282"/>
      <c r="ABT35" s="282"/>
      <c r="ABU35" s="282"/>
      <c r="ABV35" s="282"/>
      <c r="ABW35" s="282"/>
      <c r="ABX35" s="282"/>
      <c r="ABY35" s="282"/>
      <c r="ABZ35" s="282"/>
      <c r="ACA35" s="282"/>
      <c r="ACB35" s="282"/>
      <c r="ACC35" s="282"/>
      <c r="ACD35" s="282"/>
      <c r="ACE35" s="282"/>
      <c r="ACF35" s="282"/>
      <c r="ACG35" s="282"/>
      <c r="ACH35" s="282"/>
      <c r="ACI35" s="282"/>
      <c r="ACJ35" s="282"/>
      <c r="ACK35" s="282"/>
      <c r="ACL35" s="282"/>
      <c r="ACM35" s="282"/>
      <c r="ACN35" s="282"/>
      <c r="ACO35" s="282"/>
      <c r="ACP35" s="282"/>
      <c r="ACQ35" s="282"/>
      <c r="ACR35" s="282"/>
      <c r="ACS35" s="282"/>
      <c r="ACT35" s="282"/>
      <c r="ACU35" s="282"/>
      <c r="ACV35" s="282"/>
      <c r="ACW35" s="282"/>
      <c r="ACX35" s="282"/>
      <c r="ACY35" s="282"/>
      <c r="ACZ35" s="282"/>
      <c r="ADA35" s="282"/>
      <c r="ADB35" s="282"/>
      <c r="ADC35" s="282"/>
      <c r="ADD35" s="282"/>
      <c r="ADE35" s="282"/>
      <c r="ADF35" s="282"/>
      <c r="ADG35" s="282"/>
      <c r="ADH35" s="282"/>
      <c r="ADI35" s="282"/>
      <c r="ADJ35" s="282"/>
      <c r="ADK35" s="282"/>
      <c r="ADL35" s="282"/>
      <c r="ADM35" s="282"/>
      <c r="ADN35" s="282"/>
      <c r="ADO35" s="282"/>
      <c r="ADP35" s="282"/>
      <c r="ADQ35" s="282"/>
      <c r="ADR35" s="282"/>
      <c r="ADS35" s="282"/>
      <c r="ADT35" s="282"/>
      <c r="ADU35" s="282"/>
      <c r="ADV35" s="282"/>
      <c r="ADW35" s="282"/>
      <c r="ADX35" s="282"/>
      <c r="ADY35" s="282"/>
      <c r="ADZ35" s="282"/>
      <c r="AEA35" s="282"/>
      <c r="AEB35" s="282"/>
      <c r="AEC35" s="282"/>
      <c r="AED35" s="282"/>
      <c r="AEE35" s="282"/>
      <c r="AEF35" s="282"/>
      <c r="AEG35" s="282"/>
      <c r="AEH35" s="282"/>
      <c r="AEI35" s="282"/>
      <c r="AEJ35" s="282"/>
      <c r="AEK35" s="282"/>
      <c r="AEL35" s="282"/>
      <c r="AEM35" s="282"/>
      <c r="AEN35" s="282"/>
      <c r="AEO35" s="282"/>
      <c r="AEP35" s="282"/>
      <c r="AEQ35" s="282"/>
      <c r="AER35" s="282"/>
      <c r="AES35" s="282"/>
      <c r="AET35" s="282"/>
      <c r="AEU35" s="282"/>
      <c r="AEV35" s="282"/>
      <c r="AEW35" s="282"/>
      <c r="AEX35" s="282"/>
      <c r="AEY35" s="282"/>
      <c r="AEZ35" s="282"/>
      <c r="AFA35" s="282"/>
      <c r="AFB35" s="282"/>
      <c r="AFC35" s="282"/>
      <c r="AFD35" s="282"/>
      <c r="AFE35" s="282"/>
      <c r="AFF35" s="282"/>
      <c r="AFG35" s="282"/>
      <c r="AFH35" s="282"/>
      <c r="AFI35" s="282"/>
      <c r="AFJ35" s="282"/>
      <c r="AFK35" s="282"/>
      <c r="AFL35" s="282"/>
      <c r="AFM35" s="282"/>
      <c r="AFN35" s="282"/>
      <c r="AFO35" s="282"/>
      <c r="AFP35" s="282"/>
      <c r="AFQ35" s="282"/>
      <c r="AFR35" s="282"/>
      <c r="AFS35" s="282"/>
      <c r="AFT35" s="282"/>
      <c r="AFU35" s="282"/>
      <c r="AFV35" s="282"/>
      <c r="AFW35" s="282"/>
      <c r="AFX35" s="282"/>
      <c r="AFY35" s="282"/>
      <c r="AFZ35" s="282"/>
      <c r="AGA35" s="282"/>
      <c r="AGB35" s="282"/>
      <c r="AGC35" s="282"/>
      <c r="AGD35" s="282"/>
      <c r="AGE35" s="282"/>
      <c r="AGF35" s="282"/>
      <c r="AGG35" s="282"/>
      <c r="AGH35" s="282"/>
      <c r="AGI35" s="282"/>
      <c r="AGJ35" s="282"/>
      <c r="AGK35" s="282"/>
      <c r="AGL35" s="282"/>
      <c r="AGM35" s="282"/>
      <c r="AGN35" s="282"/>
      <c r="AGO35" s="282"/>
      <c r="AGP35" s="282"/>
      <c r="AGQ35" s="282"/>
      <c r="AGR35" s="282"/>
      <c r="AGS35" s="282"/>
      <c r="AGT35" s="282"/>
      <c r="AGU35" s="282"/>
      <c r="AGV35" s="282"/>
      <c r="AGW35" s="282"/>
      <c r="AGX35" s="282"/>
      <c r="AGY35" s="282"/>
      <c r="AGZ35" s="282"/>
      <c r="AHA35" s="282"/>
      <c r="AHB35" s="282"/>
      <c r="AHC35" s="282"/>
      <c r="AHD35" s="282"/>
      <c r="AHE35" s="282"/>
      <c r="AHF35" s="282"/>
      <c r="AHG35" s="282"/>
      <c r="AHH35" s="282"/>
      <c r="AHI35" s="282"/>
      <c r="AHJ35" s="282"/>
      <c r="AHK35" s="282"/>
      <c r="AHL35" s="282"/>
      <c r="AHM35" s="282"/>
      <c r="AHN35" s="282"/>
      <c r="AHO35" s="282"/>
    </row>
    <row r="36" spans="1:899" s="245" customFormat="1" ht="14.7" thickBot="1" x14ac:dyDescent="0.6">
      <c r="A36" s="398" t="s">
        <v>91</v>
      </c>
      <c r="B36" s="393" t="s">
        <v>93</v>
      </c>
      <c r="C36" s="352">
        <v>321288319</v>
      </c>
      <c r="D36" s="376">
        <v>55741.942040000002</v>
      </c>
      <c r="E36" s="352">
        <f>E5+E10+E16</f>
        <v>288890242</v>
      </c>
      <c r="F36" s="368">
        <v>50121.03514</v>
      </c>
      <c r="G36" s="352">
        <f>G5+G10+G16</f>
        <v>290223970</v>
      </c>
      <c r="H36" s="376">
        <v>50352.430379999998</v>
      </c>
      <c r="I36" s="352">
        <f>I5+I10+I16</f>
        <v>285538440</v>
      </c>
      <c r="J36" s="376">
        <v>49539.513989999999</v>
      </c>
      <c r="K36" s="352">
        <f>K5+K10+K16</f>
        <v>241368601</v>
      </c>
      <c r="L36" s="375">
        <v>41876.264309999999</v>
      </c>
      <c r="M36" s="352">
        <f>M10+M5</f>
        <v>281202697</v>
      </c>
      <c r="N36" s="375">
        <v>43562</v>
      </c>
      <c r="O36" s="352">
        <v>296747406</v>
      </c>
      <c r="P36" s="375">
        <v>81959.557499999995</v>
      </c>
      <c r="Q36" s="352">
        <v>283804173.80000001</v>
      </c>
      <c r="R36" s="375">
        <v>91902.400200000004</v>
      </c>
      <c r="S36" s="584">
        <f>S16+S10+S5</f>
        <v>247656419.49000001</v>
      </c>
      <c r="T36" s="585">
        <v>90278.165399999998</v>
      </c>
      <c r="U36" s="750">
        <f>U16+U10+U5</f>
        <v>282520798.002482</v>
      </c>
      <c r="V36" s="585">
        <v>89447</v>
      </c>
      <c r="W36" s="723">
        <f>W16+W10+W5</f>
        <v>314798283.20000005</v>
      </c>
      <c r="X36" s="544">
        <v>105136</v>
      </c>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c r="DM36" s="282"/>
      <c r="DN36" s="282"/>
      <c r="DO36" s="282"/>
      <c r="DP36" s="282"/>
      <c r="DQ36" s="282"/>
      <c r="DR36" s="282"/>
      <c r="DS36" s="282"/>
      <c r="DT36" s="282"/>
      <c r="DU36" s="282"/>
      <c r="DV36" s="282"/>
      <c r="DW36" s="282"/>
      <c r="DX36" s="282"/>
      <c r="DY36" s="282"/>
      <c r="DZ36" s="282"/>
      <c r="EA36" s="282"/>
      <c r="EB36" s="282"/>
      <c r="EC36" s="282"/>
      <c r="ED36" s="282"/>
      <c r="EE36" s="282"/>
      <c r="EF36" s="282"/>
      <c r="EG36" s="282"/>
      <c r="EH36" s="282"/>
      <c r="EI36" s="282"/>
      <c r="EJ36" s="282"/>
      <c r="EK36" s="282"/>
      <c r="EL36" s="282"/>
      <c r="EM36" s="282"/>
      <c r="EN36" s="282"/>
      <c r="EO36" s="282"/>
      <c r="EP36" s="282"/>
      <c r="EQ36" s="282"/>
      <c r="ER36" s="282"/>
      <c r="ES36" s="282"/>
      <c r="ET36" s="282"/>
      <c r="EU36" s="282"/>
    </row>
    <row r="37" spans="1:899" s="282" customFormat="1" ht="14.7" thickBot="1" x14ac:dyDescent="0.6">
      <c r="A37" s="451" t="s">
        <v>150</v>
      </c>
      <c r="B37" s="452"/>
      <c r="C37" s="453"/>
      <c r="D37" s="454">
        <f>SUM(D36:D36)</f>
        <v>55741.942040000002</v>
      </c>
      <c r="E37" s="453"/>
      <c r="F37" s="454">
        <f>SUM(F36:F36)</f>
        <v>50121.03514</v>
      </c>
      <c r="G37" s="453"/>
      <c r="H37" s="454">
        <f>SUM(H36:H36)</f>
        <v>50352.430379999998</v>
      </c>
      <c r="I37" s="453"/>
      <c r="J37" s="454">
        <f>SUM(J36:J36)</f>
        <v>49539.513989999999</v>
      </c>
      <c r="K37" s="455"/>
      <c r="L37" s="454">
        <f>SUM(L36:L36)</f>
        <v>41876.264309999999</v>
      </c>
      <c r="M37" s="453"/>
      <c r="N37" s="454">
        <f>N36</f>
        <v>43562</v>
      </c>
      <c r="O37" s="456" t="s">
        <v>95</v>
      </c>
      <c r="P37" s="454">
        <f>SUM(P36:P36)</f>
        <v>81959.557499999995</v>
      </c>
      <c r="Q37" s="456"/>
      <c r="R37" s="454">
        <f>SUM(R36:R36)</f>
        <v>91902.400200000004</v>
      </c>
      <c r="S37" s="553"/>
      <c r="T37" s="611">
        <f>T36</f>
        <v>90278.165399999998</v>
      </c>
      <c r="U37" s="751"/>
      <c r="V37" s="611">
        <f>V36</f>
        <v>89447</v>
      </c>
      <c r="W37" s="724"/>
      <c r="X37" s="331">
        <f>X36</f>
        <v>105136</v>
      </c>
    </row>
    <row r="38" spans="1:899" s="286" customFormat="1" x14ac:dyDescent="0.55000000000000004">
      <c r="A38" s="457" t="s">
        <v>57</v>
      </c>
      <c r="B38" s="458"/>
      <c r="C38" s="459"/>
      <c r="D38" s="461"/>
      <c r="E38" s="459"/>
      <c r="F38" s="461"/>
      <c r="G38" s="459"/>
      <c r="H38" s="461"/>
      <c r="I38" s="459"/>
      <c r="J38" s="461"/>
      <c r="K38" s="459"/>
      <c r="L38" s="458"/>
      <c r="M38" s="462"/>
      <c r="N38" s="458"/>
      <c r="O38" s="460"/>
      <c r="P38" s="461"/>
      <c r="Q38" s="460"/>
      <c r="R38" s="461"/>
      <c r="S38" s="555"/>
      <c r="T38" s="612"/>
      <c r="U38" s="463"/>
      <c r="V38" s="745"/>
      <c r="W38" s="725"/>
      <c r="X38" s="736"/>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2"/>
      <c r="AY38" s="282"/>
      <c r="AZ38" s="282"/>
      <c r="BA38" s="282"/>
      <c r="BB38" s="282"/>
      <c r="BC38" s="282"/>
      <c r="BD38" s="282"/>
      <c r="BE38" s="282"/>
      <c r="BF38" s="282"/>
      <c r="BG38" s="282"/>
      <c r="BH38" s="282"/>
      <c r="BI38" s="282"/>
      <c r="BJ38" s="282"/>
      <c r="BK38" s="282"/>
      <c r="BL38" s="282"/>
      <c r="BM38" s="282"/>
      <c r="BN38" s="282"/>
      <c r="BO38" s="282"/>
      <c r="BP38" s="282"/>
      <c r="BQ38" s="282"/>
      <c r="BR38" s="282"/>
      <c r="BS38" s="282"/>
      <c r="BT38" s="282"/>
      <c r="BU38" s="282"/>
      <c r="BV38" s="282"/>
      <c r="BW38" s="282"/>
      <c r="BX38" s="282"/>
      <c r="BY38" s="282"/>
      <c r="BZ38" s="282"/>
      <c r="CA38" s="282"/>
      <c r="CB38" s="282"/>
      <c r="CC38" s="282"/>
      <c r="CD38" s="282"/>
      <c r="CE38" s="282"/>
      <c r="CF38" s="282"/>
      <c r="CG38" s="282"/>
      <c r="CH38" s="282"/>
      <c r="CI38" s="282"/>
      <c r="CJ38" s="282"/>
      <c r="CK38" s="282"/>
      <c r="CL38" s="282"/>
      <c r="CM38" s="282"/>
      <c r="CN38" s="282"/>
      <c r="CO38" s="282"/>
      <c r="CP38" s="282"/>
      <c r="CQ38" s="282"/>
      <c r="CR38" s="282"/>
      <c r="CS38" s="282"/>
      <c r="CT38" s="282"/>
      <c r="CU38" s="282"/>
      <c r="CV38" s="282"/>
      <c r="CW38" s="282"/>
      <c r="CX38" s="282"/>
      <c r="CY38" s="282"/>
      <c r="CZ38" s="282"/>
      <c r="DA38" s="282"/>
      <c r="DB38" s="282"/>
      <c r="DC38" s="282"/>
      <c r="DD38" s="282"/>
      <c r="DE38" s="282"/>
      <c r="DF38" s="282"/>
      <c r="DG38" s="282"/>
      <c r="DH38" s="282"/>
      <c r="DI38" s="282"/>
      <c r="DJ38" s="282"/>
      <c r="DK38" s="282"/>
      <c r="DL38" s="282"/>
      <c r="DM38" s="282"/>
      <c r="DN38" s="282"/>
      <c r="DO38" s="282"/>
      <c r="DP38" s="282"/>
      <c r="DQ38" s="282"/>
      <c r="DR38" s="282"/>
      <c r="DS38" s="282"/>
      <c r="DT38" s="282"/>
      <c r="DU38" s="282"/>
      <c r="DV38" s="282"/>
      <c r="DW38" s="282"/>
      <c r="DX38" s="282"/>
      <c r="DY38" s="282"/>
      <c r="DZ38" s="282"/>
      <c r="EA38" s="282"/>
      <c r="EB38" s="282"/>
      <c r="EC38" s="282"/>
      <c r="ED38" s="282"/>
      <c r="EE38" s="282"/>
      <c r="EF38" s="282"/>
      <c r="EG38" s="282"/>
      <c r="EH38" s="282"/>
      <c r="EI38" s="282"/>
      <c r="EJ38" s="282"/>
      <c r="EK38" s="282"/>
      <c r="EL38" s="282"/>
      <c r="EM38" s="282"/>
      <c r="EN38" s="282"/>
      <c r="EO38" s="282"/>
      <c r="EP38" s="282"/>
      <c r="EQ38" s="282"/>
      <c r="ER38" s="282"/>
      <c r="ES38" s="282"/>
      <c r="ET38" s="282"/>
      <c r="EU38" s="282"/>
    </row>
    <row r="39" spans="1:899" s="293" customFormat="1" ht="14.7" thickBot="1" x14ac:dyDescent="0.6">
      <c r="A39" s="398" t="s">
        <v>58</v>
      </c>
      <c r="B39" s="310"/>
      <c r="C39" s="308"/>
      <c r="D39" s="476">
        <v>8165</v>
      </c>
      <c r="E39" s="475"/>
      <c r="F39" s="476">
        <v>15356</v>
      </c>
      <c r="G39" s="475"/>
      <c r="H39" s="476">
        <v>18075</v>
      </c>
      <c r="I39" s="475"/>
      <c r="J39" s="476">
        <v>17417</v>
      </c>
      <c r="K39" s="308"/>
      <c r="L39" s="314">
        <v>21462</v>
      </c>
      <c r="M39" s="306"/>
      <c r="N39" s="314">
        <v>21925</v>
      </c>
      <c r="O39" s="326"/>
      <c r="P39" s="476">
        <v>23091</v>
      </c>
      <c r="Q39" s="326"/>
      <c r="R39" s="476">
        <v>30427</v>
      </c>
      <c r="S39" s="551"/>
      <c r="T39" s="591">
        <v>35913</v>
      </c>
      <c r="U39" s="327"/>
      <c r="V39" s="746">
        <v>33087</v>
      </c>
      <c r="W39" s="726"/>
      <c r="X39" s="737">
        <v>33087</v>
      </c>
      <c r="Y39" s="332"/>
      <c r="Z39" s="332"/>
      <c r="AA39" s="332"/>
      <c r="AB39" s="332"/>
      <c r="AC39" s="332"/>
      <c r="AD39" s="332"/>
      <c r="AE39" s="332"/>
      <c r="AF39" s="332"/>
      <c r="AG39" s="332"/>
      <c r="AH39" s="332"/>
      <c r="AI39" s="332"/>
      <c r="AJ39" s="332"/>
      <c r="AK39" s="332"/>
      <c r="AL39" s="332"/>
      <c r="AM39" s="332"/>
      <c r="AN39" s="332"/>
      <c r="AO39" s="332"/>
      <c r="AP39" s="332"/>
      <c r="AQ39" s="332"/>
      <c r="AR39" s="332"/>
      <c r="AS39" s="332"/>
      <c r="AT39" s="332"/>
      <c r="AU39" s="332"/>
      <c r="AV39" s="332"/>
      <c r="AW39" s="332"/>
      <c r="AX39" s="332"/>
      <c r="AY39" s="332"/>
      <c r="AZ39" s="332"/>
      <c r="BA39" s="332"/>
      <c r="BB39" s="332"/>
      <c r="BC39" s="332"/>
      <c r="BD39" s="332"/>
      <c r="BE39" s="332"/>
      <c r="BF39" s="332"/>
      <c r="BG39" s="332"/>
      <c r="BH39" s="332"/>
      <c r="BI39" s="332"/>
      <c r="BJ39" s="332"/>
      <c r="BK39" s="332"/>
      <c r="BL39" s="332"/>
      <c r="BM39" s="332"/>
      <c r="BN39" s="332"/>
      <c r="BO39" s="332"/>
      <c r="BP39" s="332"/>
      <c r="BQ39" s="332"/>
      <c r="BR39" s="332"/>
      <c r="BS39" s="332"/>
      <c r="BT39" s="332"/>
      <c r="BU39" s="332"/>
      <c r="BV39" s="332"/>
      <c r="BW39" s="332"/>
      <c r="BX39" s="332"/>
      <c r="BY39" s="332"/>
      <c r="BZ39" s="332"/>
      <c r="CA39" s="332"/>
      <c r="CB39" s="332"/>
      <c r="CC39" s="332"/>
      <c r="CD39" s="332"/>
      <c r="CE39" s="332"/>
      <c r="CF39" s="332"/>
      <c r="CG39" s="332"/>
      <c r="CH39" s="332"/>
      <c r="CI39" s="332"/>
      <c r="CJ39" s="332"/>
      <c r="CK39" s="332"/>
      <c r="CL39" s="332"/>
      <c r="CM39" s="332"/>
      <c r="CN39" s="332"/>
      <c r="CO39" s="332"/>
      <c r="CP39" s="332"/>
      <c r="CQ39" s="332"/>
      <c r="CR39" s="332"/>
      <c r="CS39" s="332"/>
      <c r="CT39" s="332"/>
      <c r="CU39" s="332"/>
      <c r="CV39" s="332"/>
      <c r="CW39" s="332"/>
      <c r="CX39" s="332"/>
      <c r="CY39" s="332"/>
      <c r="CZ39" s="332"/>
      <c r="DA39" s="332"/>
      <c r="DB39" s="332"/>
      <c r="DC39" s="332"/>
      <c r="DD39" s="332"/>
      <c r="DE39" s="332"/>
      <c r="DF39" s="332"/>
      <c r="DG39" s="332"/>
      <c r="DH39" s="332"/>
      <c r="DI39" s="332"/>
      <c r="DJ39" s="332"/>
      <c r="DK39" s="332"/>
      <c r="DL39" s="332"/>
      <c r="DM39" s="332"/>
      <c r="DN39" s="332"/>
      <c r="DO39" s="332"/>
      <c r="DP39" s="332"/>
      <c r="DQ39" s="332"/>
      <c r="DR39" s="332"/>
      <c r="DS39" s="332"/>
      <c r="DT39" s="332"/>
      <c r="DU39" s="332"/>
      <c r="DV39" s="332"/>
      <c r="DW39" s="332"/>
      <c r="DX39" s="332"/>
      <c r="DY39" s="332"/>
      <c r="DZ39" s="332"/>
      <c r="EA39" s="332"/>
      <c r="EB39" s="332"/>
      <c r="EC39" s="332"/>
      <c r="ED39" s="332"/>
      <c r="EE39" s="332"/>
      <c r="EF39" s="332"/>
      <c r="EG39" s="332"/>
      <c r="EH39" s="332"/>
      <c r="EI39" s="332"/>
      <c r="EJ39" s="332"/>
      <c r="EK39" s="332"/>
      <c r="EL39" s="332"/>
      <c r="EM39" s="332"/>
      <c r="EN39" s="332"/>
      <c r="EO39" s="332"/>
      <c r="EP39" s="332"/>
      <c r="EQ39" s="332"/>
      <c r="ER39" s="332"/>
      <c r="ES39" s="332"/>
      <c r="ET39" s="332"/>
      <c r="EU39" s="332"/>
    </row>
    <row r="40" spans="1:899" s="286" customFormat="1" ht="14.7" thickBot="1" x14ac:dyDescent="0.6">
      <c r="A40" s="464" t="s">
        <v>59</v>
      </c>
      <c r="B40" s="465"/>
      <c r="C40" s="342"/>
      <c r="D40" s="466">
        <v>8165</v>
      </c>
      <c r="E40" s="343"/>
      <c r="F40" s="466">
        <v>15356</v>
      </c>
      <c r="G40" s="342"/>
      <c r="H40" s="466">
        <v>18075</v>
      </c>
      <c r="I40" s="343"/>
      <c r="J40" s="466">
        <v>17416.75</v>
      </c>
      <c r="K40" s="344"/>
      <c r="L40" s="468">
        <v>21461.66</v>
      </c>
      <c r="M40" s="467"/>
      <c r="N40" s="468">
        <v>21925.129032299999</v>
      </c>
      <c r="O40" s="343"/>
      <c r="P40" s="466">
        <v>23091.068891999999</v>
      </c>
      <c r="Q40" s="469"/>
      <c r="R40" s="468">
        <v>30427.208180999998</v>
      </c>
      <c r="S40" s="552"/>
      <c r="T40" s="615">
        <v>35912.868876</v>
      </c>
      <c r="U40" s="470"/>
      <c r="V40" s="615">
        <f>SUM(V39:V39)</f>
        <v>33087</v>
      </c>
      <c r="W40" s="727"/>
      <c r="X40" s="303">
        <f>SUM(X39:X39)</f>
        <v>33087</v>
      </c>
    </row>
    <row r="41" spans="1:899" s="282" customFormat="1" ht="18.600000000000001" thickBot="1" x14ac:dyDescent="0.75">
      <c r="A41" s="491" t="s">
        <v>137</v>
      </c>
      <c r="B41" s="492"/>
      <c r="C41" s="493"/>
      <c r="D41" s="494">
        <f>D37+D34+D29+D23+D40</f>
        <v>10486684.268300001</v>
      </c>
      <c r="E41" s="493"/>
      <c r="F41" s="494">
        <f>F37+F34+F29+F23+F40</f>
        <v>8567694.8259460013</v>
      </c>
      <c r="G41" s="493"/>
      <c r="H41" s="494">
        <f>H37+H34+H29+H23+H40</f>
        <v>9333676.5622869991</v>
      </c>
      <c r="I41" s="493"/>
      <c r="J41" s="494">
        <f>J37+J34+J29+J23+J40</f>
        <v>9075030.6061579995</v>
      </c>
      <c r="K41" s="493"/>
      <c r="L41" s="494">
        <f>L37+L34+L29+L23+L40</f>
        <v>7984396.2261039997</v>
      </c>
      <c r="M41" s="493"/>
      <c r="N41" s="494">
        <f>N37+N34+N29+N23+N40</f>
        <v>7968707.7306422992</v>
      </c>
      <c r="O41" s="493"/>
      <c r="P41" s="495">
        <f>P37+P34+P29+P23+P40</f>
        <v>7788193.7755144006</v>
      </c>
      <c r="Q41" s="493"/>
      <c r="R41" s="494">
        <f>R37+R34+R29+R23+R40</f>
        <v>7958175.0657086009</v>
      </c>
      <c r="S41" s="496"/>
      <c r="T41" s="497">
        <f>T37+T34+T29+T23+T40</f>
        <v>7557353.451533</v>
      </c>
      <c r="U41" s="496"/>
      <c r="V41" s="497">
        <f>V23+V29+V34+V37+V40</f>
        <v>7625622.4709999999</v>
      </c>
      <c r="W41" s="496"/>
      <c r="X41" s="497">
        <f>X23+X29+X34+X37+X40</f>
        <v>7709222.0800000001</v>
      </c>
    </row>
    <row r="42" spans="1:899" x14ac:dyDescent="0.55000000000000004">
      <c r="W42" s="728"/>
    </row>
    <row r="43" spans="1:899" x14ac:dyDescent="0.55000000000000004">
      <c r="A43" s="715" t="s">
        <v>180</v>
      </c>
      <c r="W43" s="738"/>
    </row>
    <row r="44" spans="1:899" x14ac:dyDescent="0.55000000000000004">
      <c r="W44" s="728"/>
    </row>
    <row r="45" spans="1:899" x14ac:dyDescent="0.55000000000000004">
      <c r="W45" s="728"/>
    </row>
    <row r="46" spans="1:899" x14ac:dyDescent="0.55000000000000004">
      <c r="W46" s="728"/>
    </row>
    <row r="47" spans="1:899" x14ac:dyDescent="0.55000000000000004">
      <c r="W47" s="728"/>
    </row>
    <row r="48" spans="1:899" x14ac:dyDescent="0.55000000000000004">
      <c r="W48" s="288"/>
    </row>
    <row r="49" spans="23:23" x14ac:dyDescent="0.55000000000000004">
      <c r="W49" s="288"/>
    </row>
    <row r="50" spans="23:23" x14ac:dyDescent="0.55000000000000004">
      <c r="W50" s="288"/>
    </row>
    <row r="51" spans="23:23" x14ac:dyDescent="0.55000000000000004">
      <c r="W51" s="288"/>
    </row>
    <row r="52" spans="23:23" x14ac:dyDescent="0.55000000000000004">
      <c r="W52" s="288"/>
    </row>
    <row r="53" spans="23:23" x14ac:dyDescent="0.55000000000000004">
      <c r="W53" s="288"/>
    </row>
  </sheetData>
  <mergeCells count="11">
    <mergeCell ref="W1:X1"/>
    <mergeCell ref="C1:D1"/>
    <mergeCell ref="E1:F1"/>
    <mergeCell ref="G1:H1"/>
    <mergeCell ref="I1:J1"/>
    <mergeCell ref="K1:L1"/>
    <mergeCell ref="U1:V1"/>
    <mergeCell ref="M1:N1"/>
    <mergeCell ref="Q1:R1"/>
    <mergeCell ref="O1:P1"/>
    <mergeCell ref="S1:T1"/>
  </mergeCells>
  <pageMargins left="0.7" right="0.7" top="0.75" bottom="0.75" header="0.3" footer="0.3"/>
  <pageSetup paperSize="17" scale="28"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tabColor theme="9"/>
  </sheetPr>
  <dimension ref="A1:I32"/>
  <sheetViews>
    <sheetView topLeftCell="A19" zoomScale="90" zoomScaleNormal="90" workbookViewId="0">
      <selection activeCell="E28" sqref="E28"/>
    </sheetView>
  </sheetViews>
  <sheetFormatPr defaultRowHeight="14.4" x14ac:dyDescent="0.55000000000000004"/>
  <cols>
    <col min="1" max="1" width="25.41796875" style="241" customWidth="1"/>
    <col min="2" max="3" width="14.15625" style="241" customWidth="1"/>
    <col min="4" max="4" width="28.578125" bestFit="1" customWidth="1"/>
    <col min="5" max="5" width="161.68359375" style="144" customWidth="1"/>
  </cols>
  <sheetData>
    <row r="1" spans="1:9" ht="19.5" thickBot="1" x14ac:dyDescent="0.75">
      <c r="A1" s="484" t="s">
        <v>153</v>
      </c>
      <c r="B1" s="484"/>
      <c r="C1" s="484"/>
      <c r="D1" s="485"/>
      <c r="E1" s="486"/>
      <c r="F1" s="262"/>
      <c r="G1" s="262"/>
      <c r="H1" s="262"/>
      <c r="I1" s="262"/>
    </row>
    <row r="2" spans="1:9" ht="14.7" thickTop="1" x14ac:dyDescent="0.55000000000000004">
      <c r="A2" s="487" t="s">
        <v>0</v>
      </c>
      <c r="B2" s="487" t="s">
        <v>1</v>
      </c>
      <c r="C2" s="487" t="s">
        <v>114</v>
      </c>
      <c r="D2" s="488" t="s">
        <v>103</v>
      </c>
      <c r="E2" s="489" t="s">
        <v>104</v>
      </c>
    </row>
    <row r="3" spans="1:9" x14ac:dyDescent="0.55000000000000004">
      <c r="A3" s="324" t="s">
        <v>7</v>
      </c>
      <c r="B3" s="324"/>
      <c r="C3" s="324"/>
      <c r="D3" s="324"/>
      <c r="E3" s="336"/>
    </row>
    <row r="4" spans="1:9" x14ac:dyDescent="0.55000000000000004">
      <c r="A4" s="490" t="s">
        <v>8</v>
      </c>
      <c r="B4" s="356"/>
      <c r="C4" s="356"/>
      <c r="D4" s="345"/>
      <c r="E4" s="363"/>
    </row>
    <row r="5" spans="1:9" x14ac:dyDescent="0.55000000000000004">
      <c r="A5" s="357" t="s">
        <v>11</v>
      </c>
      <c r="B5" s="356" t="s">
        <v>27</v>
      </c>
      <c r="C5" s="356" t="s">
        <v>115</v>
      </c>
      <c r="D5" s="345" t="s">
        <v>105</v>
      </c>
      <c r="E5" s="363" t="s">
        <v>164</v>
      </c>
    </row>
    <row r="6" spans="1:9" x14ac:dyDescent="0.55000000000000004">
      <c r="A6" s="357" t="s">
        <v>12</v>
      </c>
      <c r="B6" s="356" t="s">
        <v>77</v>
      </c>
      <c r="C6" s="356" t="s">
        <v>117</v>
      </c>
      <c r="D6" s="345" t="s">
        <v>106</v>
      </c>
      <c r="E6" s="363" t="s">
        <v>154</v>
      </c>
    </row>
    <row r="7" spans="1:9" x14ac:dyDescent="0.55000000000000004">
      <c r="A7" s="357" t="s">
        <v>13</v>
      </c>
      <c r="B7" s="356" t="s">
        <v>29</v>
      </c>
      <c r="C7" s="356" t="s">
        <v>115</v>
      </c>
      <c r="D7" s="345" t="s">
        <v>107</v>
      </c>
      <c r="E7" s="363" t="s">
        <v>155</v>
      </c>
    </row>
    <row r="8" spans="1:9" x14ac:dyDescent="0.55000000000000004">
      <c r="A8" s="357" t="s">
        <v>99</v>
      </c>
      <c r="B8" s="356" t="s">
        <v>98</v>
      </c>
      <c r="C8" s="356" t="s">
        <v>115</v>
      </c>
      <c r="D8" s="345" t="s">
        <v>113</v>
      </c>
      <c r="E8" s="363" t="s">
        <v>173</v>
      </c>
    </row>
    <row r="9" spans="1:9" x14ac:dyDescent="0.55000000000000004">
      <c r="A9" s="490" t="s">
        <v>9</v>
      </c>
      <c r="B9" s="356"/>
      <c r="C9" s="356"/>
      <c r="D9" s="345"/>
      <c r="E9" s="363"/>
    </row>
    <row r="10" spans="1:9" x14ac:dyDescent="0.55000000000000004">
      <c r="A10" s="357" t="s">
        <v>11</v>
      </c>
      <c r="B10" s="356" t="s">
        <v>27</v>
      </c>
      <c r="C10" s="356" t="s">
        <v>115</v>
      </c>
      <c r="D10" s="345" t="s">
        <v>105</v>
      </c>
      <c r="E10" s="363" t="s">
        <v>165</v>
      </c>
    </row>
    <row r="11" spans="1:9" x14ac:dyDescent="0.55000000000000004">
      <c r="A11" s="357" t="s">
        <v>12</v>
      </c>
      <c r="B11" s="356" t="s">
        <v>77</v>
      </c>
      <c r="C11" s="356" t="s">
        <v>117</v>
      </c>
      <c r="D11" s="345" t="s">
        <v>106</v>
      </c>
      <c r="E11" s="363" t="s">
        <v>156</v>
      </c>
    </row>
    <row r="12" spans="1:9" ht="28.8" x14ac:dyDescent="0.55000000000000004">
      <c r="A12" s="358" t="s">
        <v>13</v>
      </c>
      <c r="B12" s="359" t="s">
        <v>29</v>
      </c>
      <c r="C12" s="359" t="s">
        <v>115</v>
      </c>
      <c r="D12" s="345" t="s">
        <v>107</v>
      </c>
      <c r="E12" s="363" t="s">
        <v>157</v>
      </c>
    </row>
    <row r="13" spans="1:9" x14ac:dyDescent="0.55000000000000004">
      <c r="A13" s="357" t="s">
        <v>33</v>
      </c>
      <c r="B13" s="356" t="s">
        <v>29</v>
      </c>
      <c r="C13" s="356" t="s">
        <v>115</v>
      </c>
      <c r="D13" s="345" t="s">
        <v>107</v>
      </c>
      <c r="E13" s="363" t="s">
        <v>158</v>
      </c>
    </row>
    <row r="14" spans="1:9" x14ac:dyDescent="0.55000000000000004">
      <c r="A14" s="357" t="s">
        <v>99</v>
      </c>
      <c r="B14" s="356" t="s">
        <v>98</v>
      </c>
      <c r="C14" s="356" t="s">
        <v>115</v>
      </c>
      <c r="D14" s="345" t="s">
        <v>113</v>
      </c>
      <c r="E14" s="363" t="s">
        <v>173</v>
      </c>
    </row>
    <row r="15" spans="1:9" x14ac:dyDescent="0.55000000000000004">
      <c r="A15" s="490" t="s">
        <v>10</v>
      </c>
      <c r="B15" s="356"/>
      <c r="C15" s="356"/>
      <c r="D15" s="345"/>
      <c r="E15" s="363"/>
    </row>
    <row r="16" spans="1:9" x14ac:dyDescent="0.55000000000000004">
      <c r="A16" s="358" t="s">
        <v>11</v>
      </c>
      <c r="B16" s="359" t="s">
        <v>27</v>
      </c>
      <c r="C16" s="359" t="s">
        <v>115</v>
      </c>
      <c r="D16" s="345" t="s">
        <v>10</v>
      </c>
      <c r="E16" s="363" t="s">
        <v>121</v>
      </c>
    </row>
    <row r="17" spans="1:5" x14ac:dyDescent="0.55000000000000004">
      <c r="A17" s="358" t="s">
        <v>12</v>
      </c>
      <c r="B17" s="356" t="s">
        <v>77</v>
      </c>
      <c r="C17" s="359" t="s">
        <v>115</v>
      </c>
      <c r="D17" s="345" t="s">
        <v>10</v>
      </c>
      <c r="E17" s="363" t="s">
        <v>159</v>
      </c>
    </row>
    <row r="18" spans="1:5" x14ac:dyDescent="0.55000000000000004">
      <c r="A18" s="357" t="s">
        <v>13</v>
      </c>
      <c r="B18" s="356" t="s">
        <v>29</v>
      </c>
      <c r="C18" s="359" t="s">
        <v>115</v>
      </c>
      <c r="D18" s="345" t="s">
        <v>10</v>
      </c>
      <c r="E18" s="363" t="s">
        <v>122</v>
      </c>
    </row>
    <row r="19" spans="1:5" x14ac:dyDescent="0.55000000000000004">
      <c r="A19" s="357" t="s">
        <v>101</v>
      </c>
      <c r="B19" s="356" t="s">
        <v>98</v>
      </c>
      <c r="C19" s="359" t="s">
        <v>115</v>
      </c>
      <c r="D19" s="345" t="s">
        <v>113</v>
      </c>
      <c r="E19" s="363" t="s">
        <v>173</v>
      </c>
    </row>
    <row r="20" spans="1:5" ht="86.4" x14ac:dyDescent="0.55000000000000004">
      <c r="A20" s="311" t="s">
        <v>14</v>
      </c>
      <c r="B20" s="339"/>
      <c r="C20" s="339"/>
      <c r="D20" s="311"/>
      <c r="E20" s="299" t="s">
        <v>174</v>
      </c>
    </row>
    <row r="21" spans="1:5" ht="72" x14ac:dyDescent="0.55000000000000004">
      <c r="A21" s="357" t="s">
        <v>15</v>
      </c>
      <c r="B21" s="356" t="s">
        <v>77</v>
      </c>
      <c r="C21" s="356" t="s">
        <v>115</v>
      </c>
      <c r="D21" s="345" t="s">
        <v>109</v>
      </c>
      <c r="E21" s="363" t="s">
        <v>175</v>
      </c>
    </row>
    <row r="22" spans="1:5" x14ac:dyDescent="0.55000000000000004">
      <c r="A22" s="357" t="s">
        <v>108</v>
      </c>
      <c r="B22" s="356" t="s">
        <v>77</v>
      </c>
      <c r="C22" s="356" t="s">
        <v>115</v>
      </c>
      <c r="D22" s="345" t="s">
        <v>113</v>
      </c>
      <c r="E22" s="363" t="s">
        <v>184</v>
      </c>
    </row>
    <row r="23" spans="1:5" x14ac:dyDescent="0.55000000000000004">
      <c r="A23" s="357" t="s">
        <v>19</v>
      </c>
      <c r="B23" s="356" t="s">
        <v>30</v>
      </c>
      <c r="C23" s="356" t="s">
        <v>117</v>
      </c>
      <c r="D23" s="345" t="s">
        <v>110</v>
      </c>
      <c r="E23" s="363" t="s">
        <v>176</v>
      </c>
    </row>
    <row r="24" spans="1:5" x14ac:dyDescent="0.55000000000000004">
      <c r="A24" s="360" t="s">
        <v>17</v>
      </c>
      <c r="B24" s="356" t="s">
        <v>29</v>
      </c>
      <c r="C24" s="356" t="s">
        <v>117</v>
      </c>
      <c r="D24" s="345" t="s">
        <v>111</v>
      </c>
      <c r="E24" s="758" t="s">
        <v>172</v>
      </c>
    </row>
    <row r="25" spans="1:5" x14ac:dyDescent="0.55000000000000004">
      <c r="A25" s="360" t="s">
        <v>18</v>
      </c>
      <c r="B25" s="356" t="s">
        <v>29</v>
      </c>
      <c r="C25" s="356" t="s">
        <v>117</v>
      </c>
      <c r="D25" s="345" t="s">
        <v>111</v>
      </c>
      <c r="E25" s="758"/>
    </row>
    <row r="26" spans="1:5" x14ac:dyDescent="0.55000000000000004">
      <c r="A26" s="477" t="s">
        <v>21</v>
      </c>
      <c r="B26" s="477"/>
      <c r="C26" s="477"/>
      <c r="D26" s="477"/>
      <c r="E26" s="478"/>
    </row>
    <row r="27" spans="1:5" ht="100.8" x14ac:dyDescent="0.55000000000000004">
      <c r="A27" s="355" t="s">
        <v>22</v>
      </c>
      <c r="B27" s="356" t="s">
        <v>24</v>
      </c>
      <c r="C27" s="356" t="s">
        <v>117</v>
      </c>
      <c r="D27" s="345" t="s">
        <v>112</v>
      </c>
      <c r="E27" s="269" t="s">
        <v>177</v>
      </c>
    </row>
    <row r="28" spans="1:5" ht="28.8" x14ac:dyDescent="0.55000000000000004">
      <c r="A28" s="355" t="s">
        <v>23</v>
      </c>
      <c r="B28" s="356" t="s">
        <v>24</v>
      </c>
      <c r="C28" s="356" t="s">
        <v>117</v>
      </c>
      <c r="D28" s="345" t="s">
        <v>112</v>
      </c>
      <c r="E28" s="363" t="s">
        <v>178</v>
      </c>
    </row>
    <row r="29" spans="1:5" ht="43.2" x14ac:dyDescent="0.55000000000000004">
      <c r="A29" s="479" t="s">
        <v>92</v>
      </c>
      <c r="B29" s="480"/>
      <c r="C29" s="480"/>
      <c r="D29" s="479"/>
      <c r="E29" s="481"/>
    </row>
    <row r="30" spans="1:5" ht="43.2" x14ac:dyDescent="0.55000000000000004">
      <c r="A30" s="359" t="s">
        <v>91</v>
      </c>
      <c r="B30" s="359"/>
      <c r="C30" s="359" t="s">
        <v>117</v>
      </c>
      <c r="D30" s="363" t="s">
        <v>145</v>
      </c>
      <c r="E30" s="363" t="s">
        <v>144</v>
      </c>
    </row>
    <row r="31" spans="1:5" x14ac:dyDescent="0.55000000000000004">
      <c r="A31" s="482" t="s">
        <v>57</v>
      </c>
      <c r="B31" s="482"/>
      <c r="C31" s="482"/>
      <c r="D31" s="482"/>
      <c r="E31" s="483"/>
    </row>
    <row r="32" spans="1:5" ht="43.2" x14ac:dyDescent="0.55000000000000004">
      <c r="A32" s="361" t="s">
        <v>96</v>
      </c>
      <c r="B32" s="362" t="s">
        <v>119</v>
      </c>
      <c r="C32" s="362" t="s">
        <v>117</v>
      </c>
      <c r="D32" s="345" t="s">
        <v>118</v>
      </c>
      <c r="E32" s="363" t="s">
        <v>179</v>
      </c>
    </row>
  </sheetData>
  <mergeCells count="1">
    <mergeCell ref="E24:E2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8"/>
    <pageSetUpPr fitToPage="1"/>
  </sheetPr>
  <dimension ref="A1:CR52"/>
  <sheetViews>
    <sheetView zoomScale="80" zoomScaleNormal="80" workbookViewId="0">
      <pane xSplit="1" ySplit="2" topLeftCell="M3" activePane="bottomRight" state="frozen"/>
      <selection activeCell="K46" sqref="K46"/>
      <selection pane="topRight" activeCell="K46" sqref="K46"/>
      <selection pane="bottomLeft" activeCell="K46" sqref="K46"/>
      <selection pane="bottomRight" activeCell="AA36" sqref="AA36"/>
    </sheetView>
  </sheetViews>
  <sheetFormatPr defaultColWidth="9.15625" defaultRowHeight="17.25" customHeight="1" x14ac:dyDescent="0.55000000000000004"/>
  <cols>
    <col min="1" max="1" width="34.26171875" style="248" customWidth="1"/>
    <col min="2" max="2" width="13.15625" style="248" customWidth="1"/>
    <col min="3" max="3" width="17.41796875" style="248" customWidth="1"/>
    <col min="4" max="4" width="17.83984375" style="248" customWidth="1"/>
    <col min="5" max="5" width="14.83984375" style="248" customWidth="1"/>
    <col min="6" max="6" width="15.26171875" style="248" customWidth="1"/>
    <col min="7" max="7" width="13.83984375" style="248" customWidth="1"/>
    <col min="8" max="8" width="20.41796875" style="248" customWidth="1"/>
    <col min="9" max="9" width="14.15625" style="248" customWidth="1"/>
    <col min="10" max="10" width="22.26171875" style="248" customWidth="1"/>
    <col min="11" max="11" width="15.15625" style="248" customWidth="1"/>
    <col min="12" max="12" width="19.15625" style="248" customWidth="1"/>
    <col min="13" max="13" width="13.83984375" style="248" customWidth="1"/>
    <col min="14" max="14" width="18.578125" style="248" customWidth="1"/>
    <col min="15" max="15" width="13.26171875" style="248" bestFit="1" customWidth="1"/>
    <col min="16" max="16" width="23.26171875" style="259" customWidth="1"/>
    <col min="17" max="17" width="20" style="248" bestFit="1" customWidth="1"/>
    <col min="18" max="18" width="18.41796875" style="248" customWidth="1"/>
    <col min="19" max="19" width="15.68359375" style="248" customWidth="1"/>
    <col min="20" max="20" width="20.41796875" style="248" customWidth="1"/>
    <col min="21" max="21" width="20.578125" style="248" customWidth="1"/>
    <col min="22" max="22" width="23" style="248" customWidth="1"/>
    <col min="23" max="23" width="18.1015625" style="248" customWidth="1"/>
    <col min="24" max="24" width="21.15625" style="248" customWidth="1"/>
    <col min="25" max="16384" width="9.15625" style="248"/>
  </cols>
  <sheetData>
    <row r="1" spans="1:96" s="312" customFormat="1" ht="17.25" customHeight="1" x14ac:dyDescent="0.55000000000000004">
      <c r="A1" s="302" t="s">
        <v>48</v>
      </c>
      <c r="B1" s="329"/>
      <c r="C1" s="759">
        <v>2006</v>
      </c>
      <c r="D1" s="764"/>
      <c r="E1" s="765">
        <v>2009</v>
      </c>
      <c r="F1" s="763"/>
      <c r="G1" s="759">
        <v>2010</v>
      </c>
      <c r="H1" s="763"/>
      <c r="I1" s="759">
        <v>2011</v>
      </c>
      <c r="J1" s="763"/>
      <c r="K1" s="765">
        <v>2012</v>
      </c>
      <c r="L1" s="763"/>
      <c r="M1" s="759">
        <v>2013</v>
      </c>
      <c r="N1" s="763"/>
      <c r="O1" s="759">
        <v>2014</v>
      </c>
      <c r="P1" s="763"/>
      <c r="Q1" s="759">
        <v>2015</v>
      </c>
      <c r="R1" s="763"/>
      <c r="S1" s="759">
        <v>2016</v>
      </c>
      <c r="T1" s="760"/>
      <c r="U1" s="759">
        <v>2017</v>
      </c>
      <c r="V1" s="760"/>
      <c r="W1" s="759">
        <v>2018</v>
      </c>
      <c r="X1" s="760"/>
    </row>
    <row r="2" spans="1:96" s="312" customFormat="1" ht="17.25" customHeight="1" thickBot="1" x14ac:dyDescent="0.6">
      <c r="A2" s="313" t="s">
        <v>0</v>
      </c>
      <c r="B2" s="317" t="s">
        <v>1</v>
      </c>
      <c r="C2" s="307" t="s">
        <v>38</v>
      </c>
      <c r="D2" s="315" t="s">
        <v>160</v>
      </c>
      <c r="E2" s="296" t="s">
        <v>38</v>
      </c>
      <c r="F2" s="315" t="s">
        <v>160</v>
      </c>
      <c r="G2" s="307" t="s">
        <v>38</v>
      </c>
      <c r="H2" s="315" t="s">
        <v>160</v>
      </c>
      <c r="I2" s="307" t="s">
        <v>38</v>
      </c>
      <c r="J2" s="315" t="s">
        <v>160</v>
      </c>
      <c r="K2" s="307" t="s">
        <v>38</v>
      </c>
      <c r="L2" s="315" t="s">
        <v>160</v>
      </c>
      <c r="M2" s="307" t="s">
        <v>38</v>
      </c>
      <c r="N2" s="315" t="s">
        <v>160</v>
      </c>
      <c r="O2" s="307" t="s">
        <v>38</v>
      </c>
      <c r="P2" s="315" t="s">
        <v>160</v>
      </c>
      <c r="Q2" s="307" t="s">
        <v>38</v>
      </c>
      <c r="R2" s="315" t="s">
        <v>160</v>
      </c>
      <c r="S2" s="307" t="s">
        <v>38</v>
      </c>
      <c r="T2" s="315" t="s">
        <v>160</v>
      </c>
      <c r="U2" s="307" t="s">
        <v>38</v>
      </c>
      <c r="V2" s="549" t="s">
        <v>6</v>
      </c>
      <c r="W2" s="307" t="s">
        <v>38</v>
      </c>
      <c r="X2" s="549" t="s">
        <v>6</v>
      </c>
      <c r="Y2" s="554"/>
      <c r="Z2" s="554"/>
      <c r="AA2" s="554"/>
      <c r="AB2" s="554"/>
      <c r="AC2" s="554"/>
      <c r="AD2" s="554"/>
      <c r="AE2" s="554"/>
      <c r="AF2" s="554"/>
      <c r="AG2" s="554"/>
      <c r="AH2" s="554"/>
      <c r="AI2" s="554"/>
      <c r="AJ2" s="554"/>
      <c r="AK2" s="554"/>
      <c r="AL2" s="554"/>
      <c r="AM2" s="554"/>
      <c r="AN2" s="554"/>
      <c r="AO2" s="554"/>
      <c r="AP2" s="554"/>
      <c r="AQ2" s="554"/>
      <c r="AR2" s="554"/>
      <c r="AS2" s="554"/>
      <c r="AT2" s="554"/>
      <c r="AU2" s="554"/>
      <c r="AV2" s="554"/>
      <c r="AW2" s="554"/>
      <c r="AX2" s="554"/>
      <c r="AY2" s="554"/>
      <c r="AZ2" s="554"/>
      <c r="BA2" s="554"/>
      <c r="BB2" s="554"/>
      <c r="BC2" s="554"/>
      <c r="BD2" s="554"/>
      <c r="BE2" s="554"/>
      <c r="BF2" s="554"/>
      <c r="BG2" s="554"/>
      <c r="BH2" s="554"/>
      <c r="BI2" s="554"/>
      <c r="BJ2" s="554"/>
      <c r="BK2" s="554"/>
      <c r="BL2" s="554"/>
      <c r="BM2" s="554"/>
      <c r="BN2" s="554"/>
      <c r="BO2" s="554"/>
      <c r="BP2" s="554"/>
      <c r="BQ2" s="554"/>
      <c r="BR2" s="554"/>
      <c r="BS2" s="554"/>
      <c r="BT2" s="554"/>
      <c r="BU2" s="554"/>
      <c r="BV2" s="554"/>
      <c r="BW2" s="554"/>
      <c r="BX2" s="554"/>
      <c r="BY2" s="554"/>
      <c r="BZ2" s="554"/>
      <c r="CA2" s="554"/>
      <c r="CB2" s="554"/>
      <c r="CC2" s="554"/>
      <c r="CD2" s="554"/>
      <c r="CE2" s="554"/>
      <c r="CF2" s="554"/>
      <c r="CG2" s="554"/>
      <c r="CH2" s="554"/>
      <c r="CI2" s="554"/>
      <c r="CJ2" s="554"/>
      <c r="CK2" s="554"/>
      <c r="CL2" s="554"/>
      <c r="CM2" s="554"/>
      <c r="CN2" s="554"/>
      <c r="CO2" s="554"/>
      <c r="CP2" s="554"/>
      <c r="CQ2" s="554"/>
      <c r="CR2" s="554"/>
    </row>
    <row r="3" spans="1:96" s="249" customFormat="1" ht="17.25" customHeight="1" x14ac:dyDescent="0.55000000000000004">
      <c r="A3" s="651" t="s">
        <v>49</v>
      </c>
      <c r="B3" s="698"/>
      <c r="C3" s="697"/>
      <c r="D3" s="698"/>
      <c r="E3" s="697"/>
      <c r="F3" s="698"/>
      <c r="G3" s="697"/>
      <c r="H3" s="698"/>
      <c r="I3" s="697"/>
      <c r="J3" s="698"/>
      <c r="K3" s="697"/>
      <c r="L3" s="698"/>
      <c r="M3" s="697"/>
      <c r="N3" s="698"/>
      <c r="O3" s="697"/>
      <c r="P3" s="698"/>
      <c r="Q3" s="697"/>
      <c r="R3" s="698"/>
      <c r="S3" s="697"/>
      <c r="T3" s="300"/>
      <c r="U3" s="697"/>
      <c r="V3" s="300"/>
      <c r="W3" s="697"/>
      <c r="X3" s="300"/>
      <c r="Y3" s="554"/>
      <c r="Z3" s="554"/>
      <c r="AA3" s="554"/>
      <c r="AB3" s="554"/>
      <c r="AC3" s="554"/>
      <c r="AD3" s="554"/>
      <c r="AE3" s="554"/>
      <c r="AF3" s="554"/>
      <c r="AG3" s="554"/>
      <c r="AH3" s="554"/>
      <c r="AI3" s="554"/>
      <c r="AJ3" s="554"/>
      <c r="AK3" s="554"/>
      <c r="AL3" s="554"/>
      <c r="AM3" s="554"/>
      <c r="AN3" s="554"/>
      <c r="AO3" s="554"/>
      <c r="AP3" s="554"/>
      <c r="AQ3" s="554"/>
      <c r="AR3" s="554"/>
      <c r="AS3" s="554"/>
      <c r="AT3" s="554"/>
      <c r="AU3" s="554"/>
      <c r="AV3" s="554"/>
      <c r="AW3" s="554"/>
      <c r="AX3" s="554"/>
      <c r="AY3" s="554"/>
      <c r="AZ3" s="554"/>
      <c r="BA3" s="554"/>
      <c r="BB3" s="554"/>
      <c r="BC3" s="554"/>
      <c r="BD3" s="554"/>
      <c r="BE3" s="554"/>
      <c r="BF3" s="554"/>
      <c r="BG3" s="554"/>
      <c r="BH3" s="554"/>
      <c r="BI3" s="554"/>
      <c r="BJ3" s="554"/>
      <c r="BK3" s="554"/>
      <c r="BL3" s="554"/>
      <c r="BM3" s="554"/>
      <c r="BN3" s="554"/>
      <c r="BO3" s="554"/>
      <c r="BP3" s="554"/>
      <c r="BQ3" s="554"/>
      <c r="BR3" s="554"/>
      <c r="BS3" s="554"/>
      <c r="BT3" s="554"/>
      <c r="BU3" s="554"/>
      <c r="BV3" s="554"/>
      <c r="BW3" s="554"/>
      <c r="BX3" s="554"/>
      <c r="BY3" s="554"/>
      <c r="BZ3" s="554"/>
      <c r="CA3" s="554"/>
      <c r="CB3" s="554"/>
      <c r="CC3" s="554"/>
      <c r="CD3" s="554"/>
      <c r="CE3" s="554"/>
      <c r="CF3" s="554"/>
      <c r="CG3" s="554"/>
      <c r="CH3" s="554"/>
      <c r="CI3" s="554"/>
      <c r="CJ3" s="554"/>
      <c r="CK3" s="554"/>
      <c r="CL3" s="554"/>
      <c r="CM3" s="554"/>
      <c r="CN3" s="554"/>
      <c r="CO3" s="554"/>
      <c r="CP3" s="554"/>
      <c r="CQ3" s="554"/>
      <c r="CR3" s="554"/>
    </row>
    <row r="4" spans="1:96" ht="17.25" customHeight="1" x14ac:dyDescent="0.55000000000000004">
      <c r="A4" s="681" t="s">
        <v>11</v>
      </c>
      <c r="B4" s="560" t="s">
        <v>27</v>
      </c>
      <c r="C4" s="594">
        <v>21460212.899999999</v>
      </c>
      <c r="D4" s="596">
        <v>114139.3619</v>
      </c>
      <c r="E4" s="594">
        <v>23165471.189786859</v>
      </c>
      <c r="F4" s="596">
        <v>123209.03230000001</v>
      </c>
      <c r="G4" s="594">
        <v>18273672.859568618</v>
      </c>
      <c r="H4" s="596">
        <v>97191.27016</v>
      </c>
      <c r="I4" s="594">
        <v>11947782.613329779</v>
      </c>
      <c r="J4" s="596">
        <v>78935.318580000006</v>
      </c>
      <c r="K4" s="594">
        <v>11880035.613329783</v>
      </c>
      <c r="L4" s="596">
        <v>66225.30876</v>
      </c>
      <c r="M4" s="594">
        <v>14525990.442445001</v>
      </c>
      <c r="N4" s="596">
        <v>81098.466719999997</v>
      </c>
      <c r="O4" s="594">
        <f>'[2]GHG Inventory  '!$C$89+'[2]GHG Inventory  '!$C$102+'[2]GHG Inventory  '!$C$108+'[2]GHG Inventory  '!$C$120</f>
        <v>15119930.4</v>
      </c>
      <c r="P4" s="596">
        <v>81354.620349999997</v>
      </c>
      <c r="Q4" s="594" t="e">
        <f>'[3]GHG Inventory  '!$D$92+'[3]GHG Inventory  '!$D$105+'[3]GHG Inventory  '!$D$111+'[3]GHG Inventory  '!$D$117+'[3]GHG Inventory  '!$D$123</f>
        <v>#VALUE!</v>
      </c>
      <c r="R4" s="596">
        <v>94393.724830000006</v>
      </c>
      <c r="S4" s="594" t="e">
        <f>'[3]GHG Inventory  '!$E$92+'[3]GHG Inventory  '!$E$105+'[3]GHG Inventory  '!$E$111+'[3]GHG Inventory  '!$E$117+'[3]GHG Inventory  '!$E$123+435739</f>
        <v>#VALUE!</v>
      </c>
      <c r="T4" s="334">
        <v>82115.69</v>
      </c>
      <c r="U4" s="594">
        <v>15031604</v>
      </c>
      <c r="V4" s="334">
        <v>79948</v>
      </c>
      <c r="W4" s="594">
        <v>16800786</v>
      </c>
      <c r="X4" s="334">
        <v>89357.8</v>
      </c>
      <c r="Y4" s="554"/>
      <c r="Z4" s="554"/>
      <c r="AA4" s="554"/>
      <c r="AB4" s="554"/>
      <c r="AC4" s="554"/>
      <c r="AD4" s="554"/>
      <c r="AE4" s="554"/>
      <c r="AF4" s="554"/>
      <c r="AG4" s="554"/>
      <c r="AH4" s="554"/>
      <c r="AI4" s="554"/>
      <c r="AJ4" s="554"/>
      <c r="AK4" s="554"/>
      <c r="AL4" s="554"/>
      <c r="AM4" s="554"/>
      <c r="AN4" s="554"/>
      <c r="AO4" s="554"/>
      <c r="AP4" s="554"/>
      <c r="AQ4" s="554"/>
      <c r="AR4" s="554"/>
      <c r="AS4" s="554"/>
      <c r="AT4" s="554"/>
      <c r="AU4" s="554"/>
      <c r="AV4" s="554"/>
      <c r="AW4" s="554"/>
      <c r="AX4" s="554"/>
      <c r="AY4" s="554"/>
      <c r="AZ4" s="554"/>
      <c r="BA4" s="554"/>
      <c r="BB4" s="554"/>
      <c r="BC4" s="554"/>
      <c r="BD4" s="554"/>
      <c r="BE4" s="554"/>
      <c r="BF4" s="554"/>
      <c r="BG4" s="554"/>
      <c r="BH4" s="554"/>
      <c r="BI4" s="554"/>
      <c r="BJ4" s="554"/>
      <c r="BK4" s="554"/>
      <c r="BL4" s="554"/>
      <c r="BM4" s="554"/>
      <c r="BN4" s="554"/>
      <c r="BO4" s="554"/>
      <c r="BP4" s="554"/>
      <c r="BQ4" s="554"/>
      <c r="BR4" s="554"/>
      <c r="BS4" s="554"/>
      <c r="BT4" s="554"/>
      <c r="BU4" s="554"/>
      <c r="BV4" s="554"/>
      <c r="BW4" s="554"/>
      <c r="BX4" s="554"/>
      <c r="BY4" s="554"/>
      <c r="BZ4" s="554"/>
      <c r="CA4" s="554"/>
      <c r="CB4" s="554"/>
      <c r="CC4" s="554"/>
      <c r="CD4" s="554"/>
      <c r="CE4" s="554"/>
      <c r="CF4" s="554"/>
      <c r="CG4" s="554"/>
      <c r="CH4" s="554"/>
      <c r="CI4" s="554"/>
      <c r="CJ4" s="554"/>
      <c r="CK4" s="554"/>
      <c r="CL4" s="554"/>
      <c r="CM4" s="554"/>
      <c r="CN4" s="554"/>
      <c r="CO4" s="554"/>
      <c r="CP4" s="554"/>
      <c r="CQ4" s="554"/>
      <c r="CR4" s="554"/>
    </row>
    <row r="5" spans="1:96" ht="17.25" customHeight="1" x14ac:dyDescent="0.55000000000000004">
      <c r="A5" s="681" t="s">
        <v>12</v>
      </c>
      <c r="B5" s="560" t="s">
        <v>28</v>
      </c>
      <c r="C5" s="594">
        <v>500858748.21212125</v>
      </c>
      <c r="D5" s="596">
        <v>260099.7064</v>
      </c>
      <c r="E5" s="594">
        <v>447761142.25525522</v>
      </c>
      <c r="F5" s="596">
        <v>193380.0233</v>
      </c>
      <c r="G5" s="594">
        <v>477647798.27190882</v>
      </c>
      <c r="H5" s="596">
        <v>218074.6844</v>
      </c>
      <c r="I5" s="594">
        <v>485021842</v>
      </c>
      <c r="J5" s="596">
        <v>221441.37479999999</v>
      </c>
      <c r="K5" s="594">
        <v>522951172.17553854</v>
      </c>
      <c r="L5" s="596">
        <v>184870.66469999999</v>
      </c>
      <c r="M5" s="594">
        <v>529539418.86188745</v>
      </c>
      <c r="N5" s="596">
        <v>217757.1311</v>
      </c>
      <c r="O5" s="594">
        <f>'[2]GHG Inventory  '!$C$90+'[2]GHG Inventory  '!$C$103+'[2]GHG Inventory  '!$C$109+'[2]GHG Inventory  '!$C$121</f>
        <v>493365094</v>
      </c>
      <c r="P5" s="596">
        <v>199304.43239999999</v>
      </c>
      <c r="Q5" s="594">
        <f>'[3]GHG Inventory  '!$D$93+'[3]GHG Inventory  '!$D$106+'[3]GHG Inventory  '!$D$112+'[3]GHG Inventory  '!$D$118+'[3]GHG Inventory  '!$D$124</f>
        <v>17747685</v>
      </c>
      <c r="R5" s="596">
        <v>210720.29569999999</v>
      </c>
      <c r="S5" s="594">
        <f>'[3]GHG Inventory  '!$E$93+'[3]GHG Inventory  '!$E$106+'[3]GHG Inventory  '!$E$112+'[3]GHG Inventory  '!$E$118+'[3]GHG Inventory  '!$E$124</f>
        <v>15439197.923999999</v>
      </c>
      <c r="T5" s="334">
        <v>192309.95</v>
      </c>
      <c r="U5" s="594">
        <v>526221666</v>
      </c>
      <c r="V5" s="334">
        <v>181879</v>
      </c>
      <c r="W5" s="594">
        <v>522380881</v>
      </c>
      <c r="X5" s="334">
        <v>170554.2</v>
      </c>
      <c r="Y5" s="554"/>
      <c r="Z5" s="554"/>
      <c r="AA5" s="554"/>
      <c r="AB5" s="554"/>
      <c r="AC5" s="554"/>
      <c r="AD5" s="554"/>
      <c r="AE5" s="554"/>
      <c r="AF5" s="554"/>
      <c r="AG5" s="554"/>
      <c r="AH5" s="554"/>
      <c r="AI5" s="554"/>
      <c r="AJ5" s="554"/>
      <c r="AK5" s="554"/>
      <c r="AL5" s="554"/>
      <c r="AM5" s="554"/>
      <c r="AN5" s="554"/>
      <c r="AO5" s="554"/>
      <c r="AP5" s="554"/>
      <c r="AQ5" s="554"/>
      <c r="AR5" s="554"/>
      <c r="AS5" s="554"/>
      <c r="AT5" s="554"/>
      <c r="AU5" s="554"/>
      <c r="AV5" s="554"/>
      <c r="AW5" s="554"/>
      <c r="AX5" s="554"/>
      <c r="AY5" s="554"/>
      <c r="AZ5" s="554"/>
      <c r="BA5" s="554"/>
      <c r="BB5" s="554"/>
      <c r="BC5" s="554"/>
      <c r="BD5" s="554"/>
      <c r="BE5" s="554"/>
      <c r="BF5" s="554"/>
      <c r="BG5" s="554"/>
      <c r="BH5" s="554"/>
      <c r="BI5" s="554"/>
      <c r="BJ5" s="554"/>
      <c r="BK5" s="554"/>
      <c r="BL5" s="554"/>
      <c r="BM5" s="554"/>
      <c r="BN5" s="554"/>
      <c r="BO5" s="554"/>
      <c r="BP5" s="554"/>
      <c r="BQ5" s="554"/>
      <c r="BR5" s="554"/>
      <c r="BS5" s="554"/>
      <c r="BT5" s="554"/>
      <c r="BU5" s="554"/>
      <c r="BV5" s="554"/>
      <c r="BW5" s="554"/>
      <c r="BX5" s="554"/>
      <c r="BY5" s="554"/>
      <c r="BZ5" s="554"/>
      <c r="CA5" s="554"/>
      <c r="CB5" s="554"/>
      <c r="CC5" s="554"/>
      <c r="CD5" s="554"/>
      <c r="CE5" s="554"/>
      <c r="CF5" s="554"/>
      <c r="CG5" s="554"/>
      <c r="CH5" s="554"/>
      <c r="CI5" s="554"/>
      <c r="CJ5" s="554"/>
      <c r="CK5" s="554"/>
      <c r="CL5" s="554"/>
      <c r="CM5" s="554"/>
      <c r="CN5" s="554"/>
      <c r="CO5" s="554"/>
      <c r="CP5" s="554"/>
      <c r="CQ5" s="554"/>
      <c r="CR5" s="554"/>
    </row>
    <row r="6" spans="1:96" ht="17.25" customHeight="1" x14ac:dyDescent="0.55000000000000004">
      <c r="A6" s="681" t="s">
        <v>13</v>
      </c>
      <c r="B6" s="560" t="s">
        <v>29</v>
      </c>
      <c r="C6" s="594">
        <v>1384554</v>
      </c>
      <c r="D6" s="596">
        <v>14226.264660000001</v>
      </c>
      <c r="E6" s="594">
        <v>600343.19999998808</v>
      </c>
      <c r="F6" s="596">
        <v>6168.5123180000001</v>
      </c>
      <c r="G6" s="594">
        <v>338939.60000002384</v>
      </c>
      <c r="H6" s="596">
        <v>3482.5976110000001</v>
      </c>
      <c r="I6" s="594">
        <v>77535.799999999988</v>
      </c>
      <c r="J6" s="596">
        <v>796.68084929999998</v>
      </c>
      <c r="K6" s="594">
        <v>60343.824595291153</v>
      </c>
      <c r="L6" s="596">
        <v>719.92719539999996</v>
      </c>
      <c r="M6" s="594">
        <v>75239.859269550943</v>
      </c>
      <c r="N6" s="596">
        <v>927.66093350000006</v>
      </c>
      <c r="O6" s="594">
        <f>'[2]GHG Inventory  '!$C$104</f>
        <v>12000</v>
      </c>
      <c r="P6" s="596">
        <v>123.29976000000001</v>
      </c>
      <c r="Q6" s="594">
        <f>'[2]GHG Inventory  '!$D$104</f>
        <v>12000</v>
      </c>
      <c r="R6" s="596">
        <v>123.29976000000001</v>
      </c>
      <c r="S6" s="575" t="s">
        <v>95</v>
      </c>
      <c r="T6" s="686" t="s">
        <v>95</v>
      </c>
      <c r="U6" s="575">
        <v>0</v>
      </c>
      <c r="V6" s="686">
        <v>0</v>
      </c>
      <c r="W6" s="575"/>
      <c r="X6" s="686"/>
    </row>
    <row r="7" spans="1:96" ht="17.25" customHeight="1" x14ac:dyDescent="0.55000000000000004">
      <c r="A7" s="682" t="s">
        <v>50</v>
      </c>
      <c r="B7" s="562" t="s">
        <v>70</v>
      </c>
      <c r="C7" s="594">
        <v>80020</v>
      </c>
      <c r="D7" s="596">
        <v>5754.771667</v>
      </c>
      <c r="E7" s="594">
        <v>88982</v>
      </c>
      <c r="F7" s="596">
        <v>6527.2746100000004</v>
      </c>
      <c r="G7" s="594">
        <v>82868</v>
      </c>
      <c r="H7" s="596">
        <v>6078.7821400000003</v>
      </c>
      <c r="I7" s="594">
        <v>75785</v>
      </c>
      <c r="J7" s="596">
        <v>5384.5394679999999</v>
      </c>
      <c r="K7" s="594">
        <v>65352.029048843193</v>
      </c>
      <c r="L7" s="596">
        <v>4646.3056999999999</v>
      </c>
      <c r="M7" s="594">
        <v>84315.908455807425</v>
      </c>
      <c r="N7" s="596">
        <v>6037.3365649999996</v>
      </c>
      <c r="O7" s="594">
        <f>'[2]GHG Inventory  '!$C$92+'[2]GHG Inventory  '!$C$123</f>
        <v>70157.5</v>
      </c>
      <c r="P7" s="596">
        <v>4984.704463</v>
      </c>
      <c r="Q7" s="594">
        <f>'[2]GHG Inventory  '!$D$92+'[2]GHG Inventory  '!$D$123</f>
        <v>60461.324000000001</v>
      </c>
      <c r="R7" s="596">
        <v>4295.7892110000003</v>
      </c>
      <c r="S7" s="594">
        <v>57255</v>
      </c>
      <c r="T7" s="334">
        <v>4067.97</v>
      </c>
      <c r="U7" s="594">
        <v>52681.404113110548</v>
      </c>
      <c r="V7" s="334">
        <v>3743</v>
      </c>
      <c r="W7" s="594">
        <v>46535</v>
      </c>
      <c r="X7" s="334">
        <v>3947.8</v>
      </c>
    </row>
    <row r="8" spans="1:96" s="291" customFormat="1" ht="17.25" customHeight="1" x14ac:dyDescent="0.55000000000000004">
      <c r="A8" s="687" t="s">
        <v>51</v>
      </c>
      <c r="B8" s="680"/>
      <c r="C8" s="679"/>
      <c r="D8" s="704">
        <f>SUM(D4:D7)</f>
        <v>394220.10462699999</v>
      </c>
      <c r="E8" s="679"/>
      <c r="F8" s="704">
        <f>SUM(F4:F7)</f>
        <v>329284.84252800007</v>
      </c>
      <c r="G8" s="679"/>
      <c r="H8" s="704">
        <f>SUM(H4:H7)</f>
        <v>324827.33431100001</v>
      </c>
      <c r="I8" s="679"/>
      <c r="J8" s="704">
        <f>SUM(J4:J7)</f>
        <v>306557.91369730001</v>
      </c>
      <c r="K8" s="679"/>
      <c r="L8" s="704">
        <f>SUM(L4:L7)</f>
        <v>256462.20635540001</v>
      </c>
      <c r="M8" s="679"/>
      <c r="N8" s="704">
        <f>SUM(N4:N7)</f>
        <v>305820.59531850001</v>
      </c>
      <c r="O8" s="679"/>
      <c r="P8" s="704">
        <f>SUM(P4:P7)</f>
        <v>285767.056973</v>
      </c>
      <c r="Q8" s="679"/>
      <c r="R8" s="704">
        <f>SUM(R4:R7)</f>
        <v>309533.10950100003</v>
      </c>
      <c r="S8" s="679"/>
      <c r="T8" s="322">
        <f>SUM(T4:T7)</f>
        <v>278493.61</v>
      </c>
      <c r="U8" s="679"/>
      <c r="V8" s="322">
        <v>256610.601</v>
      </c>
      <c r="W8" s="679"/>
      <c r="X8" s="322">
        <f>SUM(X4:X7)</f>
        <v>263859.8</v>
      </c>
      <c r="Y8" s="354"/>
      <c r="Z8" s="354"/>
      <c r="AA8" s="354"/>
      <c r="AB8" s="354"/>
      <c r="AC8" s="354"/>
      <c r="AD8" s="354"/>
      <c r="AE8" s="354"/>
      <c r="AF8" s="354"/>
      <c r="AG8" s="354"/>
      <c r="AH8" s="354"/>
      <c r="AI8" s="354"/>
      <c r="AJ8" s="354"/>
      <c r="AK8" s="354"/>
      <c r="AL8" s="354"/>
      <c r="AM8" s="354"/>
      <c r="AN8" s="354"/>
      <c r="AO8" s="354"/>
      <c r="AP8" s="354"/>
      <c r="AQ8" s="354"/>
      <c r="AR8" s="354"/>
      <c r="AS8" s="354"/>
      <c r="AT8" s="354"/>
      <c r="AU8" s="354"/>
      <c r="AV8" s="354"/>
      <c r="AW8" s="354"/>
      <c r="AX8" s="354"/>
      <c r="AY8" s="354"/>
      <c r="AZ8" s="354"/>
      <c r="BA8" s="354"/>
      <c r="BB8" s="354"/>
      <c r="BC8" s="354"/>
      <c r="BD8" s="354"/>
      <c r="BE8" s="354"/>
      <c r="BF8" s="354"/>
      <c r="BG8" s="354"/>
      <c r="BH8" s="354"/>
      <c r="BI8" s="354"/>
      <c r="BJ8" s="354"/>
      <c r="BK8" s="354"/>
      <c r="BL8" s="354"/>
      <c r="BM8" s="354"/>
      <c r="BN8" s="354"/>
      <c r="BO8" s="354"/>
      <c r="BP8" s="354"/>
      <c r="BQ8" s="354"/>
      <c r="BR8" s="354"/>
      <c r="BS8" s="354"/>
      <c r="BT8" s="354"/>
      <c r="BU8" s="354"/>
      <c r="BV8" s="354"/>
      <c r="BW8" s="354"/>
      <c r="BX8" s="354"/>
      <c r="BY8" s="354"/>
      <c r="BZ8" s="354"/>
      <c r="CA8" s="354"/>
      <c r="CB8" s="354"/>
      <c r="CC8" s="354"/>
      <c r="CD8" s="354"/>
      <c r="CE8" s="354"/>
      <c r="CF8" s="354"/>
      <c r="CG8" s="354"/>
      <c r="CH8" s="354"/>
      <c r="CI8" s="354"/>
      <c r="CJ8" s="354"/>
      <c r="CK8" s="354"/>
      <c r="CL8" s="354"/>
      <c r="CM8" s="354"/>
      <c r="CN8" s="354"/>
      <c r="CO8" s="354"/>
      <c r="CP8" s="354"/>
      <c r="CQ8" s="354"/>
      <c r="CR8" s="354"/>
    </row>
    <row r="9" spans="1:96" s="290" customFormat="1" ht="17.25" customHeight="1" x14ac:dyDescent="0.55000000000000004">
      <c r="A9" s="651" t="s">
        <v>97</v>
      </c>
      <c r="B9" s="698"/>
      <c r="C9" s="664"/>
      <c r="D9" s="678"/>
      <c r="E9" s="664"/>
      <c r="F9" s="678"/>
      <c r="G9" s="664"/>
      <c r="H9" s="678"/>
      <c r="I9" s="664"/>
      <c r="J9" s="678"/>
      <c r="K9" s="664"/>
      <c r="L9" s="678"/>
      <c r="M9" s="664"/>
      <c r="N9" s="678"/>
      <c r="O9" s="664"/>
      <c r="P9" s="678"/>
      <c r="Q9" s="664"/>
      <c r="R9" s="678"/>
      <c r="S9" s="664"/>
      <c r="T9" s="341"/>
      <c r="U9" s="664"/>
      <c r="V9" s="341"/>
      <c r="W9" s="664"/>
      <c r="X9" s="341"/>
      <c r="Y9" s="354"/>
      <c r="Z9" s="354"/>
      <c r="AA9" s="354"/>
      <c r="AB9" s="354"/>
      <c r="AC9" s="354"/>
      <c r="AD9" s="354"/>
      <c r="AE9" s="354"/>
      <c r="AF9" s="354"/>
      <c r="AG9" s="354"/>
      <c r="AH9" s="354"/>
      <c r="AI9" s="354"/>
      <c r="AJ9" s="354"/>
      <c r="AK9" s="354"/>
      <c r="AL9" s="354"/>
      <c r="AM9" s="354"/>
      <c r="AN9" s="354"/>
      <c r="AO9" s="354"/>
      <c r="AP9" s="354"/>
      <c r="AQ9" s="354"/>
      <c r="AR9" s="354"/>
      <c r="AS9" s="354"/>
      <c r="AT9" s="354"/>
      <c r="AU9" s="354"/>
      <c r="AV9" s="354"/>
      <c r="AW9" s="354"/>
      <c r="AX9" s="354"/>
      <c r="AY9" s="354"/>
      <c r="AZ9" s="354"/>
      <c r="BA9" s="354"/>
      <c r="BB9" s="354"/>
      <c r="BC9" s="354"/>
      <c r="BD9" s="354"/>
      <c r="BE9" s="354"/>
      <c r="BF9" s="354"/>
      <c r="BG9" s="354"/>
      <c r="BH9" s="354"/>
      <c r="BI9" s="354"/>
      <c r="BJ9" s="354"/>
      <c r="BK9" s="354"/>
      <c r="BL9" s="354"/>
      <c r="BM9" s="354"/>
      <c r="BN9" s="354"/>
      <c r="BO9" s="354"/>
      <c r="BP9" s="354"/>
      <c r="BQ9" s="354"/>
      <c r="BR9" s="354"/>
      <c r="BS9" s="354"/>
      <c r="BT9" s="354"/>
      <c r="BU9" s="354"/>
      <c r="BV9" s="354"/>
      <c r="BW9" s="354"/>
      <c r="BX9" s="354"/>
      <c r="BY9" s="354"/>
      <c r="BZ9" s="354"/>
      <c r="CA9" s="354"/>
      <c r="CB9" s="354"/>
      <c r="CC9" s="354"/>
      <c r="CD9" s="354"/>
      <c r="CE9" s="354"/>
      <c r="CF9" s="354"/>
      <c r="CG9" s="354"/>
      <c r="CH9" s="354"/>
      <c r="CI9" s="354"/>
      <c r="CJ9" s="354"/>
      <c r="CK9" s="354"/>
      <c r="CL9" s="354"/>
      <c r="CM9" s="354"/>
      <c r="CN9" s="354"/>
      <c r="CO9" s="354"/>
      <c r="CP9" s="354"/>
      <c r="CQ9" s="354"/>
      <c r="CR9" s="354"/>
    </row>
    <row r="10" spans="1:96" s="292" customFormat="1" ht="17.25" customHeight="1" thickBot="1" x14ac:dyDescent="0.6">
      <c r="A10" s="683" t="s">
        <v>12</v>
      </c>
      <c r="B10" s="684" t="s">
        <v>77</v>
      </c>
      <c r="C10" s="575" t="s">
        <v>95</v>
      </c>
      <c r="D10" s="591">
        <v>19779.317739999999</v>
      </c>
      <c r="E10" s="575" t="s">
        <v>95</v>
      </c>
      <c r="F10" s="591">
        <v>13265.674440000001</v>
      </c>
      <c r="G10" s="575" t="s">
        <v>95</v>
      </c>
      <c r="H10" s="591">
        <v>14942.77621</v>
      </c>
      <c r="I10" s="575" t="s">
        <v>95</v>
      </c>
      <c r="J10" s="685">
        <v>15124.716</v>
      </c>
      <c r="K10" s="575" t="s">
        <v>95</v>
      </c>
      <c r="L10" s="708">
        <v>21766.448840000001</v>
      </c>
      <c r="M10" s="575" t="s">
        <v>95</v>
      </c>
      <c r="N10" s="708">
        <v>22147.995169999998</v>
      </c>
      <c r="O10" s="575" t="s">
        <v>95</v>
      </c>
      <c r="P10" s="708">
        <v>10949.05305</v>
      </c>
      <c r="Q10" s="575" t="s">
        <v>95</v>
      </c>
      <c r="R10" s="708">
        <v>12074.236730000001</v>
      </c>
      <c r="S10" s="575" t="s">
        <v>95</v>
      </c>
      <c r="T10" s="304">
        <v>10390.82</v>
      </c>
      <c r="U10" s="575"/>
      <c r="V10" s="304">
        <v>9416.2999999999993</v>
      </c>
      <c r="W10" s="575"/>
      <c r="X10" s="304">
        <v>8994.6</v>
      </c>
      <c r="Y10" s="354"/>
      <c r="Z10" s="354"/>
      <c r="AA10" s="354"/>
      <c r="AB10" s="354"/>
      <c r="AC10" s="354"/>
      <c r="AD10" s="354"/>
      <c r="AE10" s="354"/>
      <c r="AF10" s="354"/>
      <c r="AG10" s="354"/>
      <c r="AH10" s="354"/>
      <c r="AI10" s="354"/>
      <c r="AJ10" s="354"/>
      <c r="AK10" s="354"/>
      <c r="AL10" s="354"/>
      <c r="AM10" s="354"/>
      <c r="AN10" s="354"/>
      <c r="AO10" s="354"/>
      <c r="AP10" s="354"/>
      <c r="AQ10" s="354"/>
      <c r="AR10" s="354"/>
      <c r="AS10" s="354"/>
      <c r="AT10" s="354"/>
      <c r="AU10" s="354"/>
      <c r="AV10" s="354"/>
      <c r="AW10" s="354"/>
      <c r="AX10" s="354"/>
      <c r="AY10" s="354"/>
      <c r="AZ10" s="354"/>
      <c r="BA10" s="354"/>
      <c r="BB10" s="354"/>
      <c r="BC10" s="354"/>
      <c r="BD10" s="354"/>
      <c r="BE10" s="354"/>
      <c r="BF10" s="354"/>
      <c r="BG10" s="354"/>
      <c r="BH10" s="354"/>
      <c r="BI10" s="354"/>
      <c r="BJ10" s="354"/>
      <c r="BK10" s="354"/>
      <c r="BL10" s="354"/>
      <c r="BM10" s="354"/>
      <c r="BN10" s="354"/>
      <c r="BO10" s="354"/>
      <c r="BP10" s="354"/>
      <c r="BQ10" s="354"/>
      <c r="BR10" s="354"/>
      <c r="BS10" s="354"/>
      <c r="BT10" s="354"/>
      <c r="BU10" s="354"/>
      <c r="BV10" s="354"/>
      <c r="BW10" s="354"/>
      <c r="BX10" s="354"/>
      <c r="BY10" s="354"/>
      <c r="BZ10" s="354"/>
      <c r="CA10" s="354"/>
      <c r="CB10" s="354"/>
      <c r="CC10" s="354"/>
      <c r="CD10" s="354"/>
      <c r="CE10" s="354"/>
      <c r="CF10" s="354"/>
      <c r="CG10" s="354"/>
      <c r="CH10" s="354"/>
      <c r="CI10" s="354"/>
      <c r="CJ10" s="354"/>
      <c r="CK10" s="354"/>
      <c r="CL10" s="354"/>
      <c r="CM10" s="354"/>
      <c r="CN10" s="354"/>
      <c r="CO10" s="354"/>
      <c r="CP10" s="354"/>
      <c r="CQ10" s="354"/>
      <c r="CR10" s="354"/>
    </row>
    <row r="11" spans="1:96" s="290" customFormat="1" ht="17.25" customHeight="1" thickBot="1" x14ac:dyDescent="0.6">
      <c r="A11" s="706" t="s">
        <v>151</v>
      </c>
      <c r="B11" s="617"/>
      <c r="C11" s="707"/>
      <c r="D11" s="577">
        <f>SUM(D8:D10)</f>
        <v>413999.42236700002</v>
      </c>
      <c r="E11" s="707"/>
      <c r="F11" s="577">
        <f>SUM(F8:F10)</f>
        <v>342550.51696800004</v>
      </c>
      <c r="G11" s="707"/>
      <c r="H11" s="577">
        <f>SUM(H8:H10)</f>
        <v>339770.110521</v>
      </c>
      <c r="I11" s="707"/>
      <c r="J11" s="577">
        <f>SUM(J8:J10)</f>
        <v>321682.62969730003</v>
      </c>
      <c r="K11" s="707"/>
      <c r="L11" s="577">
        <f>SUM(L8:L10)</f>
        <v>278228.6551954</v>
      </c>
      <c r="M11" s="707"/>
      <c r="N11" s="577">
        <f>SUM(N8:N10)</f>
        <v>327968.59048850002</v>
      </c>
      <c r="O11" s="707"/>
      <c r="P11" s="577">
        <f>SUM(P8:P10)</f>
        <v>296716.11002299999</v>
      </c>
      <c r="Q11" s="707"/>
      <c r="R11" s="577">
        <f>SUM(R8:R10)</f>
        <v>321607.34623100003</v>
      </c>
      <c r="S11" s="707"/>
      <c r="T11" s="316">
        <f>SUM(T8:T10)</f>
        <v>288884.43</v>
      </c>
      <c r="U11" s="707"/>
      <c r="V11" s="316">
        <v>266026.90100000001</v>
      </c>
      <c r="W11" s="707"/>
      <c r="X11" s="316">
        <f>X8+X10</f>
        <v>272854.39999999997</v>
      </c>
      <c r="Y11" s="354"/>
      <c r="Z11" s="354"/>
      <c r="AA11" s="354"/>
      <c r="AB11" s="354"/>
      <c r="AC11" s="354"/>
      <c r="AD11" s="354"/>
      <c r="AE11" s="354"/>
      <c r="AF11" s="354"/>
      <c r="AG11" s="354"/>
      <c r="AH11" s="354"/>
      <c r="AI11" s="354"/>
      <c r="AJ11" s="354"/>
      <c r="AK11" s="354"/>
      <c r="AL11" s="354"/>
      <c r="AM11" s="354"/>
      <c r="AN11" s="354"/>
      <c r="AO11" s="354"/>
      <c r="AP11" s="354"/>
      <c r="AQ11" s="354"/>
      <c r="AR11" s="354"/>
      <c r="AS11" s="354"/>
      <c r="AT11" s="354"/>
      <c r="AU11" s="354"/>
      <c r="AV11" s="354"/>
      <c r="AW11" s="354"/>
      <c r="AX11" s="354"/>
      <c r="AY11" s="354"/>
      <c r="AZ11" s="354"/>
      <c r="BA11" s="354"/>
      <c r="BB11" s="354"/>
      <c r="BC11" s="354"/>
      <c r="BD11" s="354"/>
      <c r="BE11" s="354"/>
      <c r="BF11" s="354"/>
      <c r="BG11" s="354"/>
      <c r="BH11" s="354"/>
      <c r="BI11" s="354"/>
      <c r="BJ11" s="354"/>
      <c r="BK11" s="354"/>
      <c r="BL11" s="354"/>
      <c r="BM11" s="354"/>
      <c r="BN11" s="354"/>
      <c r="BO11" s="354"/>
      <c r="BP11" s="354"/>
      <c r="BQ11" s="354"/>
      <c r="BR11" s="354"/>
      <c r="BS11" s="354"/>
      <c r="BT11" s="354"/>
      <c r="BU11" s="354"/>
      <c r="BV11" s="354"/>
      <c r="BW11" s="354"/>
      <c r="BX11" s="354"/>
      <c r="BY11" s="354"/>
      <c r="BZ11" s="354"/>
      <c r="CA11" s="354"/>
      <c r="CB11" s="354"/>
      <c r="CC11" s="354"/>
      <c r="CD11" s="354"/>
      <c r="CE11" s="354"/>
      <c r="CF11" s="354"/>
      <c r="CG11" s="354"/>
      <c r="CH11" s="354"/>
      <c r="CI11" s="354"/>
      <c r="CJ11" s="354"/>
      <c r="CK11" s="354"/>
      <c r="CL11" s="354"/>
      <c r="CM11" s="354"/>
      <c r="CN11" s="354"/>
      <c r="CO11" s="354"/>
      <c r="CP11" s="354"/>
      <c r="CQ11" s="354"/>
      <c r="CR11" s="354"/>
    </row>
    <row r="12" spans="1:96" ht="17.25" customHeight="1" x14ac:dyDescent="0.55000000000000004">
      <c r="A12" s="665" t="s">
        <v>52</v>
      </c>
      <c r="B12" s="666"/>
      <c r="C12" s="667"/>
      <c r="D12" s="668"/>
      <c r="E12" s="667"/>
      <c r="F12" s="666"/>
      <c r="G12" s="667"/>
      <c r="H12" s="666"/>
      <c r="I12" s="668"/>
      <c r="J12" s="668"/>
      <c r="K12" s="667"/>
      <c r="L12" s="666"/>
      <c r="M12" s="668"/>
      <c r="N12" s="666"/>
      <c r="O12" s="668"/>
      <c r="P12" s="669"/>
      <c r="Q12" s="668"/>
      <c r="R12" s="666"/>
      <c r="S12" s="668"/>
      <c r="T12" s="321"/>
      <c r="U12" s="668"/>
      <c r="V12" s="321"/>
      <c r="W12" s="668"/>
      <c r="X12" s="321"/>
      <c r="Y12" s="354"/>
      <c r="Z12" s="354"/>
      <c r="AA12" s="354"/>
      <c r="AB12" s="354"/>
      <c r="AC12" s="354"/>
      <c r="AD12" s="354"/>
      <c r="AE12" s="354"/>
      <c r="AF12" s="354"/>
      <c r="AG12" s="354"/>
      <c r="AH12" s="354"/>
      <c r="AI12" s="354"/>
      <c r="AJ12" s="354"/>
      <c r="AK12" s="354"/>
      <c r="AL12" s="354"/>
      <c r="AM12" s="354"/>
      <c r="AN12" s="354"/>
      <c r="AO12" s="354"/>
      <c r="AP12" s="354"/>
      <c r="AQ12" s="354"/>
      <c r="AR12" s="354"/>
      <c r="AS12" s="354"/>
      <c r="AT12" s="354"/>
      <c r="AU12" s="354"/>
      <c r="AV12" s="354"/>
      <c r="AW12" s="354"/>
      <c r="AX12" s="354"/>
      <c r="AY12" s="354"/>
      <c r="AZ12" s="354"/>
      <c r="BA12" s="354"/>
      <c r="BB12" s="354"/>
      <c r="BC12" s="354"/>
      <c r="BD12" s="354"/>
      <c r="BE12" s="354"/>
      <c r="BF12" s="354"/>
      <c r="BG12" s="354"/>
      <c r="BH12" s="354"/>
      <c r="BI12" s="354"/>
      <c r="BJ12" s="354"/>
      <c r="BK12" s="354"/>
      <c r="BL12" s="354"/>
      <c r="BM12" s="354"/>
      <c r="BN12" s="354"/>
      <c r="BO12" s="354"/>
      <c r="BP12" s="354"/>
      <c r="BQ12" s="354"/>
      <c r="BR12" s="354"/>
      <c r="BS12" s="354"/>
      <c r="BT12" s="354"/>
      <c r="BU12" s="354"/>
      <c r="BV12" s="354"/>
      <c r="BW12" s="354"/>
      <c r="BX12" s="354"/>
      <c r="BY12" s="354"/>
      <c r="BZ12" s="354"/>
      <c r="CA12" s="354"/>
      <c r="CB12" s="354"/>
      <c r="CC12" s="354"/>
      <c r="CD12" s="354"/>
      <c r="CE12" s="354"/>
      <c r="CF12" s="354"/>
      <c r="CG12" s="354"/>
      <c r="CH12" s="354"/>
      <c r="CI12" s="354"/>
      <c r="CJ12" s="354"/>
      <c r="CK12" s="354"/>
      <c r="CL12" s="354"/>
      <c r="CM12" s="354"/>
      <c r="CN12" s="354"/>
      <c r="CO12" s="354"/>
      <c r="CP12" s="354"/>
      <c r="CQ12" s="354"/>
      <c r="CR12" s="354"/>
    </row>
    <row r="13" spans="1:96" ht="17.25" customHeight="1" thickBot="1" x14ac:dyDescent="0.6">
      <c r="A13" s="681" t="s">
        <v>12</v>
      </c>
      <c r="B13" s="563" t="s">
        <v>77</v>
      </c>
      <c r="C13" s="594">
        <v>87734545</v>
      </c>
      <c r="D13" s="596">
        <v>45561.207600000002</v>
      </c>
      <c r="E13" s="594">
        <v>80004536</v>
      </c>
      <c r="F13" s="596">
        <v>34552.527190000001</v>
      </c>
      <c r="G13" s="594">
        <v>84707557</v>
      </c>
      <c r="H13" s="596">
        <v>38674.047749999998</v>
      </c>
      <c r="I13" s="594">
        <v>84180622</v>
      </c>
      <c r="J13" s="596">
        <v>38433.470520000003</v>
      </c>
      <c r="K13" s="594">
        <v>83884151</v>
      </c>
      <c r="L13" s="596">
        <v>32811.592230000002</v>
      </c>
      <c r="M13" s="594">
        <v>87933183</v>
      </c>
      <c r="N13" s="596">
        <v>34407.345668504597</v>
      </c>
      <c r="O13" s="594">
        <v>88684857</v>
      </c>
      <c r="P13" s="596">
        <v>33566.756970000002</v>
      </c>
      <c r="Q13" s="594">
        <v>88047617</v>
      </c>
      <c r="R13" s="596">
        <v>33325.56495</v>
      </c>
      <c r="S13" s="594">
        <f>'[3]GHG Inventory  '!$E$140</f>
        <v>0</v>
      </c>
      <c r="T13" s="334">
        <v>30787.06654</v>
      </c>
      <c r="U13" s="594">
        <v>89455221</v>
      </c>
      <c r="V13" s="334">
        <v>30918</v>
      </c>
      <c r="W13" s="594">
        <v>86164157</v>
      </c>
      <c r="X13" s="334">
        <v>28132</v>
      </c>
      <c r="Y13" s="354"/>
      <c r="Z13" s="354"/>
      <c r="AA13" s="354"/>
      <c r="AB13" s="354"/>
      <c r="AC13" s="354"/>
      <c r="AD13" s="354"/>
      <c r="AE13" s="354"/>
      <c r="AF13" s="354"/>
      <c r="AG13" s="354"/>
      <c r="AH13" s="354"/>
      <c r="AI13" s="354"/>
      <c r="AJ13" s="354"/>
      <c r="AK13" s="354"/>
      <c r="AL13" s="354"/>
      <c r="AM13" s="354"/>
      <c r="AN13" s="354"/>
      <c r="AO13" s="354"/>
      <c r="AP13" s="354"/>
      <c r="AQ13" s="354"/>
      <c r="AR13" s="354"/>
      <c r="AS13" s="354"/>
      <c r="AT13" s="354"/>
      <c r="AU13" s="354"/>
      <c r="AV13" s="354"/>
      <c r="AW13" s="354"/>
      <c r="AX13" s="354"/>
      <c r="AY13" s="354"/>
      <c r="AZ13" s="354"/>
      <c r="BA13" s="354"/>
      <c r="BB13" s="354"/>
      <c r="BC13" s="354"/>
      <c r="BD13" s="354"/>
      <c r="BE13" s="354"/>
      <c r="BF13" s="354"/>
      <c r="BG13" s="354"/>
      <c r="BH13" s="354"/>
      <c r="BI13" s="354"/>
      <c r="BJ13" s="354"/>
      <c r="BK13" s="354"/>
      <c r="BL13" s="354"/>
      <c r="BM13" s="354"/>
      <c r="BN13" s="354"/>
      <c r="BO13" s="354"/>
      <c r="BP13" s="354"/>
      <c r="BQ13" s="354"/>
      <c r="BR13" s="354"/>
      <c r="BS13" s="354"/>
      <c r="BT13" s="354"/>
      <c r="BU13" s="354"/>
      <c r="BV13" s="354"/>
      <c r="BW13" s="354"/>
      <c r="BX13" s="354"/>
      <c r="BY13" s="354"/>
      <c r="BZ13" s="354"/>
      <c r="CA13" s="354"/>
      <c r="CB13" s="354"/>
      <c r="CC13" s="354"/>
      <c r="CD13" s="354"/>
      <c r="CE13" s="354"/>
      <c r="CF13" s="354"/>
      <c r="CG13" s="354"/>
      <c r="CH13" s="354"/>
      <c r="CI13" s="354"/>
      <c r="CJ13" s="354"/>
      <c r="CK13" s="354"/>
      <c r="CL13" s="354"/>
      <c r="CM13" s="354"/>
      <c r="CN13" s="354"/>
      <c r="CO13" s="354"/>
      <c r="CP13" s="354"/>
      <c r="CQ13" s="354"/>
      <c r="CR13" s="354"/>
    </row>
    <row r="14" spans="1:96" s="278" customFormat="1" ht="17.25" customHeight="1" thickBot="1" x14ac:dyDescent="0.6">
      <c r="A14" s="670" t="s">
        <v>53</v>
      </c>
      <c r="B14" s="671"/>
      <c r="C14" s="672">
        <f t="shared" ref="C14:M14" si="0">C13</f>
        <v>87734545</v>
      </c>
      <c r="D14" s="673">
        <f t="shared" si="0"/>
        <v>45561.207600000002</v>
      </c>
      <c r="E14" s="672">
        <f t="shared" si="0"/>
        <v>80004536</v>
      </c>
      <c r="F14" s="673">
        <f t="shared" si="0"/>
        <v>34552.527190000001</v>
      </c>
      <c r="G14" s="674">
        <f t="shared" si="0"/>
        <v>84707557</v>
      </c>
      <c r="H14" s="673">
        <f t="shared" si="0"/>
        <v>38674.047749999998</v>
      </c>
      <c r="I14" s="675">
        <f t="shared" si="0"/>
        <v>84180622</v>
      </c>
      <c r="J14" s="675">
        <f t="shared" si="0"/>
        <v>38433.470520000003</v>
      </c>
      <c r="K14" s="676">
        <f t="shared" si="0"/>
        <v>83884151</v>
      </c>
      <c r="L14" s="677">
        <f t="shared" si="0"/>
        <v>32811.592230000002</v>
      </c>
      <c r="M14" s="676">
        <f t="shared" si="0"/>
        <v>87933183</v>
      </c>
      <c r="N14" s="677">
        <v>34395.385889999998</v>
      </c>
      <c r="O14" s="676">
        <f t="shared" ref="O14:T14" si="1">O13</f>
        <v>88684857</v>
      </c>
      <c r="P14" s="673">
        <f t="shared" si="1"/>
        <v>33566.756970000002</v>
      </c>
      <c r="Q14" s="676">
        <f t="shared" si="1"/>
        <v>88047617</v>
      </c>
      <c r="R14" s="677">
        <f t="shared" si="1"/>
        <v>33325.56495</v>
      </c>
      <c r="S14" s="676">
        <f t="shared" si="1"/>
        <v>0</v>
      </c>
      <c r="T14" s="301">
        <f t="shared" si="1"/>
        <v>30787.06654</v>
      </c>
      <c r="U14" s="676">
        <v>89455221</v>
      </c>
      <c r="V14" s="301">
        <v>30918</v>
      </c>
      <c r="W14" s="676">
        <f>W13</f>
        <v>86164157</v>
      </c>
      <c r="X14" s="301">
        <f>X13</f>
        <v>28132</v>
      </c>
    </row>
    <row r="15" spans="1:96" ht="17.25" customHeight="1" x14ac:dyDescent="0.55000000000000004">
      <c r="A15" s="652" t="s">
        <v>55</v>
      </c>
      <c r="B15" s="618"/>
      <c r="C15" s="619"/>
      <c r="D15" s="619"/>
      <c r="E15" s="620"/>
      <c r="F15" s="699"/>
      <c r="G15" s="620"/>
      <c r="H15" s="699"/>
      <c r="I15" s="619"/>
      <c r="J15" s="699"/>
      <c r="K15" s="620"/>
      <c r="L15" s="699"/>
      <c r="M15" s="620"/>
      <c r="N15" s="618"/>
      <c r="O15" s="620"/>
      <c r="P15" s="621"/>
      <c r="Q15" s="620"/>
      <c r="R15" s="618"/>
      <c r="S15" s="620"/>
      <c r="T15" s="688"/>
      <c r="U15" s="620"/>
      <c r="V15" s="688"/>
      <c r="W15" s="620"/>
      <c r="X15" s="688"/>
    </row>
    <row r="16" spans="1:96" ht="17.25" customHeight="1" x14ac:dyDescent="0.55000000000000004">
      <c r="A16" s="653" t="s">
        <v>140</v>
      </c>
      <c r="B16" s="562"/>
      <c r="C16" s="571"/>
      <c r="D16" s="570"/>
      <c r="E16" s="571"/>
      <c r="F16" s="570"/>
      <c r="G16" s="571"/>
      <c r="H16" s="570"/>
      <c r="I16" s="571"/>
      <c r="J16" s="570"/>
      <c r="K16" s="571"/>
      <c r="L16" s="570"/>
      <c r="M16" s="571"/>
      <c r="N16" s="570"/>
      <c r="O16" s="571"/>
      <c r="P16" s="570"/>
      <c r="Q16" s="569"/>
      <c r="R16" s="563"/>
      <c r="S16" s="569"/>
      <c r="T16" s="328"/>
      <c r="U16" s="569"/>
      <c r="V16" s="328"/>
      <c r="W16" s="569"/>
      <c r="X16" s="328"/>
    </row>
    <row r="17" spans="1:24" s="257" customFormat="1" ht="17.25" customHeight="1" x14ac:dyDescent="0.55000000000000004">
      <c r="A17" s="654" t="s">
        <v>18</v>
      </c>
      <c r="B17" s="563" t="s">
        <v>30</v>
      </c>
      <c r="C17" s="571" t="s">
        <v>95</v>
      </c>
      <c r="D17" s="570" t="s">
        <v>95</v>
      </c>
      <c r="E17" s="571" t="s">
        <v>95</v>
      </c>
      <c r="F17" s="570" t="s">
        <v>95</v>
      </c>
      <c r="G17" s="571" t="s">
        <v>95</v>
      </c>
      <c r="H17" s="570" t="s">
        <v>95</v>
      </c>
      <c r="I17" s="571" t="s">
        <v>95</v>
      </c>
      <c r="J17" s="570" t="s">
        <v>95</v>
      </c>
      <c r="K17" s="571" t="s">
        <v>95</v>
      </c>
      <c r="L17" s="570" t="s">
        <v>95</v>
      </c>
      <c r="M17" s="571" t="s">
        <v>95</v>
      </c>
      <c r="N17" s="570" t="s">
        <v>95</v>
      </c>
      <c r="O17" s="571" t="s">
        <v>95</v>
      </c>
      <c r="P17" s="570" t="s">
        <v>95</v>
      </c>
      <c r="Q17" s="689">
        <v>1328865</v>
      </c>
      <c r="R17" s="692">
        <v>4810.4735680000003</v>
      </c>
      <c r="S17" s="691">
        <v>1420925</v>
      </c>
      <c r="T17" s="298">
        <v>4584.840295</v>
      </c>
      <c r="U17" s="691">
        <v>435454.07</v>
      </c>
      <c r="V17" s="298">
        <v>4446</v>
      </c>
      <c r="W17" s="691">
        <v>396401</v>
      </c>
      <c r="X17" s="298">
        <v>4047.3</v>
      </c>
    </row>
    <row r="18" spans="1:24" s="257" customFormat="1" ht="17.25" customHeight="1" x14ac:dyDescent="0.55000000000000004">
      <c r="A18" s="653" t="s">
        <v>141</v>
      </c>
      <c r="B18" s="562" t="s">
        <v>77</v>
      </c>
      <c r="C18" s="571"/>
      <c r="D18" s="570"/>
      <c r="E18" s="571"/>
      <c r="F18" s="570"/>
      <c r="G18" s="571"/>
      <c r="H18" s="570"/>
      <c r="I18" s="571"/>
      <c r="J18" s="570"/>
      <c r="K18" s="571"/>
      <c r="L18" s="570"/>
      <c r="M18" s="571"/>
      <c r="N18" s="570"/>
      <c r="O18" s="571"/>
      <c r="P18" s="570"/>
      <c r="Q18" s="569"/>
      <c r="R18" s="563"/>
      <c r="S18" s="569"/>
      <c r="T18" s="337"/>
      <c r="U18" s="569"/>
      <c r="V18" s="337"/>
      <c r="W18" s="569"/>
      <c r="X18" s="337"/>
    </row>
    <row r="19" spans="1:24" s="257" customFormat="1" ht="17.25" customHeight="1" x14ac:dyDescent="0.55000000000000004">
      <c r="A19" s="654" t="s">
        <v>12</v>
      </c>
      <c r="B19" s="563" t="s">
        <v>77</v>
      </c>
      <c r="C19" s="571" t="s">
        <v>95</v>
      </c>
      <c r="D19" s="570" t="s">
        <v>95</v>
      </c>
      <c r="E19" s="571" t="s">
        <v>95</v>
      </c>
      <c r="F19" s="570" t="s">
        <v>95</v>
      </c>
      <c r="G19" s="571" t="s">
        <v>95</v>
      </c>
      <c r="H19" s="570" t="s">
        <v>95</v>
      </c>
      <c r="I19" s="571" t="s">
        <v>95</v>
      </c>
      <c r="J19" s="570" t="s">
        <v>95</v>
      </c>
      <c r="K19" s="571" t="s">
        <v>95</v>
      </c>
      <c r="L19" s="570" t="s">
        <v>95</v>
      </c>
      <c r="M19" s="571" t="s">
        <v>95</v>
      </c>
      <c r="N19" s="570" t="s">
        <v>95</v>
      </c>
      <c r="O19" s="571" t="s">
        <v>95</v>
      </c>
      <c r="P19" s="570" t="s">
        <v>95</v>
      </c>
      <c r="Q19" s="571" t="s">
        <v>95</v>
      </c>
      <c r="R19" s="570" t="s">
        <v>95</v>
      </c>
      <c r="S19" s="692">
        <v>2705000</v>
      </c>
      <c r="T19" s="298">
        <v>934.93</v>
      </c>
      <c r="U19" s="692">
        <v>5386000</v>
      </c>
      <c r="V19" s="298">
        <v>1861.6</v>
      </c>
      <c r="W19" s="692">
        <v>1843285</v>
      </c>
      <c r="X19" s="298">
        <v>601.79999999999995</v>
      </c>
    </row>
    <row r="20" spans="1:24" ht="17.25" customHeight="1" x14ac:dyDescent="0.55000000000000004">
      <c r="A20" s="653" t="s">
        <v>19</v>
      </c>
      <c r="B20" s="562" t="s">
        <v>30</v>
      </c>
      <c r="C20" s="571"/>
      <c r="D20" s="570"/>
      <c r="E20" s="571"/>
      <c r="F20" s="570"/>
      <c r="G20" s="571"/>
      <c r="H20" s="570"/>
      <c r="I20" s="571"/>
      <c r="J20" s="570"/>
      <c r="K20" s="571"/>
      <c r="L20" s="570"/>
      <c r="M20" s="571"/>
      <c r="N20" s="570"/>
      <c r="O20" s="571"/>
      <c r="P20" s="570"/>
      <c r="Q20" s="569"/>
      <c r="R20" s="563"/>
      <c r="S20" s="569"/>
      <c r="T20" s="328"/>
      <c r="U20" s="569"/>
      <c r="V20" s="328"/>
      <c r="W20" s="569"/>
      <c r="X20" s="328"/>
    </row>
    <row r="21" spans="1:24" ht="17.25" customHeight="1" x14ac:dyDescent="0.55000000000000004">
      <c r="A21" s="655" t="s">
        <v>62</v>
      </c>
      <c r="B21" s="562" t="s">
        <v>87</v>
      </c>
      <c r="C21" s="691">
        <v>69076</v>
      </c>
      <c r="D21" s="693">
        <v>453.5632296</v>
      </c>
      <c r="E21" s="692">
        <v>79882</v>
      </c>
      <c r="F21" s="693">
        <v>524.96697110000002</v>
      </c>
      <c r="G21" s="692">
        <v>66208</v>
      </c>
      <c r="H21" s="693">
        <v>435.09889909999998</v>
      </c>
      <c r="I21" s="656">
        <v>62394.53</v>
      </c>
      <c r="J21" s="692">
        <v>410.2898265</v>
      </c>
      <c r="K21" s="691">
        <v>62171.59</v>
      </c>
      <c r="L21" s="693">
        <v>452.40282969999998</v>
      </c>
      <c r="M21" s="691">
        <v>67567.555000000022</v>
      </c>
      <c r="N21" s="693">
        <v>520</v>
      </c>
      <c r="O21" s="691">
        <v>61352.68</v>
      </c>
      <c r="P21" s="693">
        <v>435.56526259999998</v>
      </c>
      <c r="Q21" s="691">
        <v>70155.12</v>
      </c>
      <c r="R21" s="692">
        <v>492.01481519999999</v>
      </c>
      <c r="S21" s="691">
        <v>64415.98</v>
      </c>
      <c r="T21" s="298">
        <v>29.44088412</v>
      </c>
      <c r="U21" s="691">
        <v>57958</v>
      </c>
      <c r="V21" s="298">
        <v>25.431000000000001</v>
      </c>
      <c r="W21" s="691">
        <v>55618</v>
      </c>
      <c r="X21" s="298">
        <v>24</v>
      </c>
    </row>
    <row r="22" spans="1:24" ht="17.25" customHeight="1" x14ac:dyDescent="0.55000000000000004">
      <c r="A22" s="655" t="s">
        <v>18</v>
      </c>
      <c r="B22" s="562" t="s">
        <v>29</v>
      </c>
      <c r="C22" s="691">
        <v>2029139.5779069767</v>
      </c>
      <c r="D22" s="693">
        <v>20631.259999999998</v>
      </c>
      <c r="E22" s="692">
        <v>519852</v>
      </c>
      <c r="F22" s="693">
        <v>5314.9320470000002</v>
      </c>
      <c r="G22" s="692">
        <v>1586964</v>
      </c>
      <c r="H22" s="693">
        <v>16208.24237</v>
      </c>
      <c r="I22" s="656">
        <v>1324693.29</v>
      </c>
      <c r="J22" s="692">
        <v>13546</v>
      </c>
      <c r="K22" s="691">
        <v>773609</v>
      </c>
      <c r="L22" s="693">
        <v>7902.9170899999999</v>
      </c>
      <c r="M22" s="691">
        <v>520524.53</v>
      </c>
      <c r="N22" s="693">
        <v>5318.117749</v>
      </c>
      <c r="O22" s="691">
        <v>326821.88</v>
      </c>
      <c r="P22" s="693">
        <v>3337.6706789999998</v>
      </c>
      <c r="Q22" s="691">
        <v>276599.88</v>
      </c>
      <c r="R22" s="692">
        <v>2825.9546810000002</v>
      </c>
      <c r="S22" s="691">
        <v>265532.65999999997</v>
      </c>
      <c r="T22" s="298">
        <v>2712.2126090000002</v>
      </c>
      <c r="U22" s="691">
        <v>235430</v>
      </c>
      <c r="V22" s="298">
        <v>2404.6999999999998</v>
      </c>
      <c r="W22" s="691">
        <v>217808</v>
      </c>
      <c r="X22" s="298">
        <v>2224.5</v>
      </c>
    </row>
    <row r="23" spans="1:24" ht="17.25" customHeight="1" x14ac:dyDescent="0.55000000000000004">
      <c r="A23" s="655" t="s">
        <v>63</v>
      </c>
      <c r="B23" s="562" t="s">
        <v>29</v>
      </c>
      <c r="C23" s="573" t="s">
        <v>95</v>
      </c>
      <c r="D23" s="593" t="s">
        <v>95</v>
      </c>
      <c r="E23" s="576" t="s">
        <v>95</v>
      </c>
      <c r="F23" s="593" t="s">
        <v>95</v>
      </c>
      <c r="G23" s="576" t="s">
        <v>95</v>
      </c>
      <c r="H23" s="593" t="s">
        <v>95</v>
      </c>
      <c r="I23" s="656">
        <v>56854.69</v>
      </c>
      <c r="J23" s="592">
        <v>0.65364999999999995</v>
      </c>
      <c r="K23" s="691">
        <v>1286965.0610000002</v>
      </c>
      <c r="L23" s="693">
        <v>11636.304889999999</v>
      </c>
      <c r="M23" s="691">
        <v>1153932.1200000001</v>
      </c>
      <c r="N23" s="693">
        <v>10263.916730000001</v>
      </c>
      <c r="O23" s="691">
        <f>'[2]GHG Inventory  '!$C$187+'[2]GHG Inventory  '!$C$194</f>
        <v>1140892.24</v>
      </c>
      <c r="P23" s="693">
        <v>9980.7362549999998</v>
      </c>
      <c r="Q23" s="691">
        <f>'[2]GHG Inventory  '!$D$187+'[2]GHG Inventory  '!$D$194</f>
        <v>1205676.77</v>
      </c>
      <c r="R23" s="692">
        <v>10655.88753</v>
      </c>
      <c r="S23" s="691">
        <v>1162382</v>
      </c>
      <c r="T23" s="298">
        <v>10252.293799999999</v>
      </c>
      <c r="U23" s="691">
        <v>1062814</v>
      </c>
      <c r="V23" s="298">
        <v>9284.7999999999993</v>
      </c>
      <c r="W23" s="691">
        <v>1068017</v>
      </c>
      <c r="X23" s="298">
        <v>9327</v>
      </c>
    </row>
    <row r="24" spans="1:24" ht="17.25" customHeight="1" x14ac:dyDescent="0.55000000000000004">
      <c r="A24" s="655" t="s">
        <v>64</v>
      </c>
      <c r="B24" s="562" t="s">
        <v>29</v>
      </c>
      <c r="C24" s="691">
        <v>78736.300000000017</v>
      </c>
      <c r="D24" s="693">
        <v>118.37</v>
      </c>
      <c r="E24" s="692">
        <v>103521</v>
      </c>
      <c r="F24" s="693">
        <v>181.4755419</v>
      </c>
      <c r="G24" s="692">
        <v>116642</v>
      </c>
      <c r="H24" s="693">
        <v>204.24300170000001</v>
      </c>
      <c r="I24" s="656">
        <v>72232.070000000007</v>
      </c>
      <c r="J24" s="692">
        <v>126.6266198</v>
      </c>
      <c r="K24" s="691">
        <v>235240.21299999999</v>
      </c>
      <c r="L24" s="693">
        <v>364.67940800000002</v>
      </c>
      <c r="M24" s="691">
        <v>363372.59</v>
      </c>
      <c r="N24" s="693">
        <v>558.38553669999999</v>
      </c>
      <c r="O24" s="691">
        <v>369825.34</v>
      </c>
      <c r="P24" s="693">
        <v>544.68538490000003</v>
      </c>
      <c r="Q24" s="691">
        <v>346241.54</v>
      </c>
      <c r="R24" s="692">
        <v>505.9205078</v>
      </c>
      <c r="S24" s="691">
        <v>319049.40000000002</v>
      </c>
      <c r="T24" s="298">
        <v>476.90819909999999</v>
      </c>
      <c r="U24" s="691">
        <v>285297</v>
      </c>
      <c r="V24" s="298">
        <v>426.28</v>
      </c>
      <c r="W24" s="691">
        <v>282458</v>
      </c>
      <c r="X24" s="298">
        <v>421</v>
      </c>
    </row>
    <row r="25" spans="1:24" ht="17.25" customHeight="1" x14ac:dyDescent="0.55000000000000004">
      <c r="A25" s="655" t="s">
        <v>17</v>
      </c>
      <c r="B25" s="562" t="s">
        <v>29</v>
      </c>
      <c r="C25" s="691">
        <v>2296050</v>
      </c>
      <c r="D25" s="693">
        <v>20539.400000000001</v>
      </c>
      <c r="E25" s="692">
        <v>2475764</v>
      </c>
      <c r="F25" s="693">
        <v>22052.686559999998</v>
      </c>
      <c r="G25" s="692">
        <v>2375515.014</v>
      </c>
      <c r="H25" s="693">
        <v>21453.414509999999</v>
      </c>
      <c r="I25" s="691">
        <v>2622572.81</v>
      </c>
      <c r="J25" s="692">
        <v>23711.273160000001</v>
      </c>
      <c r="K25" s="691">
        <v>2453418.5460000001</v>
      </c>
      <c r="L25" s="693">
        <v>21678.166020000001</v>
      </c>
      <c r="M25" s="691">
        <v>2564760.16</v>
      </c>
      <c r="N25" s="693">
        <v>22665.27838</v>
      </c>
      <c r="O25" s="691">
        <v>2705944.45</v>
      </c>
      <c r="P25" s="693">
        <v>23888.605930000002</v>
      </c>
      <c r="Q25" s="691">
        <v>2825562.71</v>
      </c>
      <c r="R25" s="693">
        <v>24943.612099999998</v>
      </c>
      <c r="S25" s="692">
        <v>2817272.2</v>
      </c>
      <c r="T25" s="298">
        <v>24960.605299999999</v>
      </c>
      <c r="U25" s="692">
        <v>2879633</v>
      </c>
      <c r="V25" s="298">
        <v>23037</v>
      </c>
      <c r="W25" s="692">
        <v>2982438</v>
      </c>
      <c r="X25" s="298">
        <v>26282</v>
      </c>
    </row>
    <row r="26" spans="1:24" ht="17.25" customHeight="1" x14ac:dyDescent="0.55000000000000004">
      <c r="A26" s="657" t="s">
        <v>65</v>
      </c>
      <c r="B26" s="562"/>
      <c r="C26" s="691"/>
      <c r="D26" s="693"/>
      <c r="E26" s="568"/>
      <c r="F26" s="563"/>
      <c r="G26" s="569"/>
      <c r="H26" s="563"/>
      <c r="I26" s="692"/>
      <c r="J26" s="568"/>
      <c r="K26" s="691"/>
      <c r="L26" s="563"/>
      <c r="M26" s="691"/>
      <c r="N26" s="563"/>
      <c r="O26" s="691"/>
      <c r="P26" s="693"/>
      <c r="Q26" s="691"/>
      <c r="R26" s="563"/>
      <c r="S26" s="691"/>
      <c r="T26" s="328"/>
      <c r="U26" s="691"/>
      <c r="V26" s="328"/>
      <c r="W26" s="691"/>
      <c r="X26" s="328"/>
    </row>
    <row r="27" spans="1:24" ht="17.25" customHeight="1" x14ac:dyDescent="0.55000000000000004">
      <c r="A27" s="655" t="s">
        <v>18</v>
      </c>
      <c r="B27" s="562" t="s">
        <v>29</v>
      </c>
      <c r="C27" s="692">
        <v>223150</v>
      </c>
      <c r="D27" s="693">
        <v>2278.3615</v>
      </c>
      <c r="E27" s="692">
        <v>1924338</v>
      </c>
      <c r="F27" s="693">
        <v>19811.339110000001</v>
      </c>
      <c r="G27" s="692">
        <v>952445</v>
      </c>
      <c r="H27" s="693">
        <v>9805.5643749999999</v>
      </c>
      <c r="I27" s="692">
        <v>453416</v>
      </c>
      <c r="J27" s="692">
        <v>4629.3773600000004</v>
      </c>
      <c r="K27" s="691">
        <v>44328.809000000001</v>
      </c>
      <c r="L27" s="693">
        <v>456.46474439999997</v>
      </c>
      <c r="M27" s="691">
        <v>41731.42</v>
      </c>
      <c r="N27" s="562">
        <v>429.67218680000002</v>
      </c>
      <c r="O27" s="691">
        <f>'[2]GHG Inventory  '!$C$159+'[2]GHG Inventory  '!$C$160+'[2]GHG Inventory  '!$C$161+'[2]GHG Inventory  '!$C$162</f>
        <v>42957.885000000002</v>
      </c>
      <c r="P27" s="693">
        <v>442.28128190000001</v>
      </c>
      <c r="Q27" s="691">
        <f>SUM('[2]GHG Inventory  '!$D$159:$D$162)</f>
        <v>59014.600000000006</v>
      </c>
      <c r="R27" s="692">
        <v>606.91203310000003</v>
      </c>
      <c r="S27" s="691">
        <f>'[3]GHG Inventory  '!$E$162+'[3]GHG Inventory  '!$E$163+'[3]GHG Inventory  '!$E$164+'[3]GHG Inventory  '!$E$165</f>
        <v>30793.69</v>
      </c>
      <c r="T27" s="298">
        <v>449.59335970000001</v>
      </c>
      <c r="U27" s="691">
        <v>41533</v>
      </c>
      <c r="V27" s="298">
        <v>426.80647000000005</v>
      </c>
      <c r="W27" s="691">
        <v>88642</v>
      </c>
      <c r="X27" s="298">
        <v>483</v>
      </c>
    </row>
    <row r="28" spans="1:24" ht="17.25" customHeight="1" x14ac:dyDescent="0.55000000000000004">
      <c r="A28" s="658" t="s">
        <v>17</v>
      </c>
      <c r="B28" s="560" t="s">
        <v>29</v>
      </c>
      <c r="C28" s="594">
        <v>225122.39599999995</v>
      </c>
      <c r="D28" s="596">
        <v>1992.847481</v>
      </c>
      <c r="E28" s="594">
        <v>35018</v>
      </c>
      <c r="F28" s="596">
        <v>310.07009160000001</v>
      </c>
      <c r="G28" s="594">
        <v>28890</v>
      </c>
      <c r="H28" s="596">
        <v>255.81068070000001</v>
      </c>
      <c r="I28" s="594">
        <v>18370.259999999998</v>
      </c>
      <c r="J28" s="594">
        <v>162.6190526</v>
      </c>
      <c r="K28" s="689">
        <v>22521.325000000001</v>
      </c>
      <c r="L28" s="596">
        <v>199.5056888</v>
      </c>
      <c r="M28" s="689">
        <v>23418.131999999998</v>
      </c>
      <c r="N28" s="560">
        <v>207.4192553</v>
      </c>
      <c r="O28" s="689">
        <f>'[2]GHG Inventory  '!$C$166+'[2]GHG Inventory  '!$C$167+'[2]GHG Inventory  '!$C$168+'[2]GHG Inventory  '!$C$169</f>
        <v>37891.499000000003</v>
      </c>
      <c r="P28" s="693">
        <v>335.82824909999999</v>
      </c>
      <c r="Q28" s="689">
        <f>'[2]GHG Inventory  '!$D$166+'[2]GHG Inventory  '!$D$167+'[2]GHG Inventory  '!$D$168+'[2]GHG Inventory  '!$D$169</f>
        <v>42734.65</v>
      </c>
      <c r="R28" s="693">
        <v>378.43756000000002</v>
      </c>
      <c r="S28" s="689">
        <f>'[3]GHG Inventory  '!$E$169+'[3]GHG Inventory  '!$E$170+'[3]GHG Inventory  '!$E$171+'[3]GHG Inventory  '!$E$172+'[3]GHG Inventory  '!$E$174</f>
        <v>61055.880000000005</v>
      </c>
      <c r="T28" s="298">
        <v>222.034043</v>
      </c>
      <c r="U28" s="689">
        <v>15951</v>
      </c>
      <c r="V28" s="298">
        <v>141.26900000000001</v>
      </c>
      <c r="W28" s="689">
        <v>30931</v>
      </c>
      <c r="X28" s="298">
        <v>274</v>
      </c>
    </row>
    <row r="29" spans="1:24" ht="17.25" customHeight="1" x14ac:dyDescent="0.55000000000000004">
      <c r="A29" s="658" t="s">
        <v>62</v>
      </c>
      <c r="B29" s="560" t="s">
        <v>87</v>
      </c>
      <c r="C29" s="594">
        <v>25649</v>
      </c>
      <c r="D29" s="596">
        <v>168.41512650000001</v>
      </c>
      <c r="E29" s="571" t="s">
        <v>95</v>
      </c>
      <c r="F29" s="570" t="s">
        <v>95</v>
      </c>
      <c r="G29" s="574" t="s">
        <v>95</v>
      </c>
      <c r="H29" s="570" t="s">
        <v>95</v>
      </c>
      <c r="I29" s="571" t="s">
        <v>95</v>
      </c>
      <c r="J29" s="571" t="s">
        <v>95</v>
      </c>
      <c r="K29" s="694" t="s">
        <v>95</v>
      </c>
      <c r="L29" s="570" t="s">
        <v>95</v>
      </c>
      <c r="M29" s="694" t="s">
        <v>95</v>
      </c>
      <c r="N29" s="570" t="s">
        <v>95</v>
      </c>
      <c r="O29" s="694" t="s">
        <v>95</v>
      </c>
      <c r="P29" s="580" t="s">
        <v>95</v>
      </c>
      <c r="Q29" s="689">
        <v>112.04600000000001</v>
      </c>
      <c r="R29" s="580" t="s">
        <v>95</v>
      </c>
      <c r="S29" s="689">
        <f>'[3]GHG Inventory  '!$E$174</f>
        <v>3436.91</v>
      </c>
      <c r="T29" s="686" t="s">
        <v>95</v>
      </c>
      <c r="U29" s="575" t="s">
        <v>95</v>
      </c>
      <c r="V29" s="686">
        <v>0</v>
      </c>
      <c r="W29" s="575"/>
      <c r="X29" s="686"/>
    </row>
    <row r="30" spans="1:24" ht="17.25" customHeight="1" x14ac:dyDescent="0.55000000000000004">
      <c r="A30" s="658" t="s">
        <v>64</v>
      </c>
      <c r="B30" s="560" t="s">
        <v>29</v>
      </c>
      <c r="C30" s="594">
        <v>18434.2</v>
      </c>
      <c r="D30" s="596">
        <v>24.277577999999998</v>
      </c>
      <c r="E30" s="571" t="s">
        <v>95</v>
      </c>
      <c r="F30" s="570" t="s">
        <v>95</v>
      </c>
      <c r="G30" s="574" t="s">
        <v>95</v>
      </c>
      <c r="H30" s="570" t="s">
        <v>95</v>
      </c>
      <c r="I30" s="571" t="s">
        <v>95</v>
      </c>
      <c r="J30" s="571" t="s">
        <v>95</v>
      </c>
      <c r="K30" s="694" t="s">
        <v>95</v>
      </c>
      <c r="L30" s="570" t="s">
        <v>95</v>
      </c>
      <c r="M30" s="689">
        <v>744.40099999999995</v>
      </c>
      <c r="N30" s="561">
        <v>6</v>
      </c>
      <c r="O30" s="573" t="s">
        <v>95</v>
      </c>
      <c r="P30" s="593" t="s">
        <v>95</v>
      </c>
      <c r="Q30" s="689">
        <v>51.05</v>
      </c>
      <c r="R30" s="693">
        <v>0.44821899999999998</v>
      </c>
      <c r="S30" s="571" t="s">
        <v>95</v>
      </c>
      <c r="T30" s="338" t="s">
        <v>95</v>
      </c>
      <c r="U30" s="575" t="s">
        <v>95</v>
      </c>
      <c r="V30" s="338">
        <v>87.013999999999996</v>
      </c>
      <c r="W30" s="575"/>
      <c r="X30" s="338"/>
    </row>
    <row r="31" spans="1:24" ht="17.25" customHeight="1" thickBot="1" x14ac:dyDescent="0.6">
      <c r="A31" s="658" t="s">
        <v>63</v>
      </c>
      <c r="B31" s="560" t="s">
        <v>29</v>
      </c>
      <c r="C31" s="694" t="s">
        <v>95</v>
      </c>
      <c r="D31" s="581" t="s">
        <v>95</v>
      </c>
      <c r="E31" s="571" t="s">
        <v>95</v>
      </c>
      <c r="F31" s="570" t="s">
        <v>95</v>
      </c>
      <c r="G31" s="574" t="s">
        <v>95</v>
      </c>
      <c r="H31" s="570" t="s">
        <v>95</v>
      </c>
      <c r="I31" s="571" t="s">
        <v>95</v>
      </c>
      <c r="J31" s="571" t="s">
        <v>95</v>
      </c>
      <c r="K31" s="689">
        <v>84738.744999999995</v>
      </c>
      <c r="L31" s="596">
        <v>769.0989816</v>
      </c>
      <c r="M31" s="689">
        <v>81196.366999999998</v>
      </c>
      <c r="N31" s="560">
        <v>723.48507770000003</v>
      </c>
      <c r="O31" s="689">
        <f>'[2]GHG Inventory  '!$C$153+'[2]GHG Inventory  '!$C$155+'[2]GHG Inventory  '!$C$157+'[2]GHG Inventory  '!$C$163+'[2]GHG Inventory  '!$C$164+'[2]GHG Inventory  '!$C$165</f>
        <v>79656.217000000004</v>
      </c>
      <c r="P31" s="596">
        <v>689.86201149999999</v>
      </c>
      <c r="Q31" s="689">
        <f>'[2]GHG Inventory  '!$D$153+'[2]GHG Inventory  '!$D$155+'[2]GHG Inventory  '!$D$157+'[2]GHG Inventory  '!$D$163+'[2]GHG Inventory  '!$D$164+'[2]GHG Inventory  '!$D$165</f>
        <v>81366.327000000005</v>
      </c>
      <c r="R31" s="596">
        <v>720.53648880000003</v>
      </c>
      <c r="S31" s="689">
        <v>83927</v>
      </c>
      <c r="T31" s="334">
        <v>741.34862580000004</v>
      </c>
      <c r="U31" s="689">
        <v>76065</v>
      </c>
      <c r="V31" s="334">
        <v>668.0809999999999</v>
      </c>
      <c r="W31" s="689">
        <v>161095</v>
      </c>
      <c r="X31" s="334">
        <v>792.7</v>
      </c>
    </row>
    <row r="32" spans="1:24" s="278" customFormat="1" ht="17.25" customHeight="1" thickBot="1" x14ac:dyDescent="0.6">
      <c r="A32" s="709" t="s">
        <v>56</v>
      </c>
      <c r="B32" s="566"/>
      <c r="C32" s="567"/>
      <c r="D32" s="595">
        <f>SUM(D17:D31)</f>
        <v>46206.494915099989</v>
      </c>
      <c r="E32" s="622"/>
      <c r="F32" s="595">
        <f>SUM(F17:F31)</f>
        <v>48195.470321599998</v>
      </c>
      <c r="G32" s="622"/>
      <c r="H32" s="595">
        <f>SUM(H17:H31)</f>
        <v>48362.373836500003</v>
      </c>
      <c r="I32" s="567"/>
      <c r="J32" s="710">
        <f>SUM(J17:J31)</f>
        <v>42586.8396689</v>
      </c>
      <c r="K32" s="622"/>
      <c r="L32" s="710">
        <f>SUM(L17:L31)</f>
        <v>43459.539652500003</v>
      </c>
      <c r="M32" s="622"/>
      <c r="N32" s="710">
        <f>SUM(N17:N31)</f>
        <v>40692.274915500013</v>
      </c>
      <c r="O32" s="622"/>
      <c r="P32" s="710">
        <f>SUM(P17:P31)</f>
        <v>39655.235054000004</v>
      </c>
      <c r="Q32" s="622"/>
      <c r="R32" s="710">
        <f>SUM(R17:R31)</f>
        <v>45940.197502899995</v>
      </c>
      <c r="S32" s="622"/>
      <c r="T32" s="333">
        <f>SUM(T17:T31)</f>
        <v>45364.207115719997</v>
      </c>
      <c r="U32" s="622"/>
      <c r="V32" s="333">
        <v>42808.981470000006</v>
      </c>
      <c r="W32" s="622"/>
      <c r="X32" s="333">
        <f>SUM(X17:X31)</f>
        <v>44477.299999999996</v>
      </c>
    </row>
    <row r="33" spans="1:24" ht="17.25" customHeight="1" x14ac:dyDescent="0.55000000000000004">
      <c r="A33" s="659" t="s">
        <v>39</v>
      </c>
      <c r="B33" s="700"/>
      <c r="C33" s="624"/>
      <c r="D33" s="624"/>
      <c r="E33" s="623"/>
      <c r="F33" s="700"/>
      <c r="G33" s="623"/>
      <c r="H33" s="700"/>
      <c r="I33" s="624"/>
      <c r="J33" s="700"/>
      <c r="K33" s="623"/>
      <c r="L33" s="700"/>
      <c r="M33" s="623"/>
      <c r="N33" s="700"/>
      <c r="O33" s="623"/>
      <c r="P33" s="625"/>
      <c r="Q33" s="623"/>
      <c r="R33" s="700"/>
      <c r="S33" s="623"/>
      <c r="T33" s="330"/>
      <c r="U33" s="623"/>
      <c r="V33" s="330"/>
      <c r="W33" s="623"/>
      <c r="X33" s="330"/>
    </row>
    <row r="34" spans="1:24" ht="17.25" customHeight="1" x14ac:dyDescent="0.55000000000000004">
      <c r="A34" s="681" t="s">
        <v>22</v>
      </c>
      <c r="B34" s="560" t="s">
        <v>24</v>
      </c>
      <c r="C34" s="594">
        <v>2685</v>
      </c>
      <c r="D34" s="596">
        <v>1176.30387</v>
      </c>
      <c r="E34" s="594">
        <v>331.1</v>
      </c>
      <c r="F34" s="596">
        <v>217.176602</v>
      </c>
      <c r="G34" s="594">
        <v>336</v>
      </c>
      <c r="H34" s="596">
        <v>220.39063200000001</v>
      </c>
      <c r="I34" s="594">
        <v>962</v>
      </c>
      <c r="J34" s="596">
        <v>630.999369</v>
      </c>
      <c r="K34" s="594">
        <v>931.75113353187862</v>
      </c>
      <c r="L34" s="596">
        <v>611.32163400000002</v>
      </c>
      <c r="M34" s="594">
        <v>952.45151644077077</v>
      </c>
      <c r="N34" s="596">
        <v>624.44012399999997</v>
      </c>
      <c r="O34" s="594">
        <v>5555.4</v>
      </c>
      <c r="P34" s="596">
        <v>2011.393679</v>
      </c>
      <c r="Q34" s="594">
        <v>7948.4</v>
      </c>
      <c r="R34" s="596">
        <v>2877.805652</v>
      </c>
      <c r="S34" s="594">
        <v>12089.3</v>
      </c>
      <c r="T34" s="334">
        <v>4415.9069680000002</v>
      </c>
      <c r="U34" s="594">
        <v>16016.56</v>
      </c>
      <c r="V34" s="334">
        <v>5947</v>
      </c>
      <c r="W34" s="594">
        <v>8275</v>
      </c>
      <c r="X34" s="334">
        <v>4216</v>
      </c>
    </row>
    <row r="35" spans="1:24" ht="17.25" customHeight="1" x14ac:dyDescent="0.55000000000000004">
      <c r="A35" s="681" t="s">
        <v>23</v>
      </c>
      <c r="B35" s="560" t="s">
        <v>24</v>
      </c>
      <c r="C35" s="575" t="s">
        <v>95</v>
      </c>
      <c r="D35" s="580" t="s">
        <v>95</v>
      </c>
      <c r="E35" s="575">
        <v>2979.9</v>
      </c>
      <c r="F35" s="580">
        <v>1032.86736</v>
      </c>
      <c r="G35" s="578">
        <v>3024</v>
      </c>
      <c r="H35" s="579">
        <v>1011</v>
      </c>
      <c r="I35" s="575">
        <v>8658.9</v>
      </c>
      <c r="J35" s="580">
        <v>3001</v>
      </c>
      <c r="K35" s="575">
        <v>8385.7602017869085</v>
      </c>
      <c r="L35" s="580">
        <v>2906</v>
      </c>
      <c r="M35" s="575">
        <v>8572.0636479669356</v>
      </c>
      <c r="N35" s="580">
        <v>2971</v>
      </c>
      <c r="O35" s="575">
        <v>4648.3999999999996</v>
      </c>
      <c r="P35" s="580">
        <v>1613.1660400000001</v>
      </c>
      <c r="Q35" s="575">
        <v>9057.4</v>
      </c>
      <c r="R35" s="580">
        <v>3139.3854139999999</v>
      </c>
      <c r="S35" s="575">
        <v>6908.2</v>
      </c>
      <c r="T35" s="686">
        <v>2394.4512020000002</v>
      </c>
      <c r="U35" s="575">
        <v>2318.19</v>
      </c>
      <c r="V35" s="686">
        <v>803.44</v>
      </c>
      <c r="W35" s="575">
        <v>7951</v>
      </c>
      <c r="X35" s="686">
        <v>2755.9</v>
      </c>
    </row>
    <row r="36" spans="1:24" s="279" customFormat="1" ht="17.25" customHeight="1" thickBot="1" x14ac:dyDescent="0.6">
      <c r="A36" s="681" t="s">
        <v>143</v>
      </c>
      <c r="B36" s="560" t="s">
        <v>24</v>
      </c>
      <c r="C36" s="575" t="s">
        <v>95</v>
      </c>
      <c r="D36" s="580" t="s">
        <v>95</v>
      </c>
      <c r="E36" s="575" t="s">
        <v>95</v>
      </c>
      <c r="F36" s="580" t="s">
        <v>95</v>
      </c>
      <c r="G36" s="575" t="s">
        <v>95</v>
      </c>
      <c r="H36" s="580" t="s">
        <v>95</v>
      </c>
      <c r="I36" s="575" t="s">
        <v>95</v>
      </c>
      <c r="J36" s="580" t="s">
        <v>95</v>
      </c>
      <c r="K36" s="575" t="s">
        <v>95</v>
      </c>
      <c r="L36" s="580" t="s">
        <v>95</v>
      </c>
      <c r="M36" s="575" t="s">
        <v>95</v>
      </c>
      <c r="N36" s="580" t="s">
        <v>95</v>
      </c>
      <c r="O36" s="575" t="s">
        <v>95</v>
      </c>
      <c r="P36" s="580" t="s">
        <v>95</v>
      </c>
      <c r="Q36" s="575" t="s">
        <v>95</v>
      </c>
      <c r="R36" s="580" t="s">
        <v>95</v>
      </c>
      <c r="S36" s="575" t="s">
        <v>95</v>
      </c>
      <c r="T36" s="686" t="s">
        <v>95</v>
      </c>
      <c r="U36" s="575">
        <v>481</v>
      </c>
      <c r="V36" s="686">
        <v>33.491</v>
      </c>
      <c r="W36" s="575">
        <v>314</v>
      </c>
      <c r="X36" s="686">
        <v>22</v>
      </c>
    </row>
    <row r="37" spans="1:24" s="278" customFormat="1" ht="17.25" customHeight="1" thickBot="1" x14ac:dyDescent="0.6">
      <c r="A37" s="711" t="s">
        <v>54</v>
      </c>
      <c r="B37" s="663"/>
      <c r="C37" s="713">
        <f>SUM(C34:C35)</f>
        <v>2685</v>
      </c>
      <c r="D37" s="626">
        <f>SUM(D34:D35)</f>
        <v>1176.30387</v>
      </c>
      <c r="E37" s="713">
        <f>E35+E34</f>
        <v>3311</v>
      </c>
      <c r="F37" s="626">
        <f>SUM(F34:F35)</f>
        <v>1250.043962</v>
      </c>
      <c r="G37" s="713">
        <f>G35+G34</f>
        <v>3360</v>
      </c>
      <c r="H37" s="626">
        <f t="shared" ref="H37:T37" si="2">SUM(H34:H35)</f>
        <v>1231.3906320000001</v>
      </c>
      <c r="I37" s="712">
        <f t="shared" si="2"/>
        <v>9620.9</v>
      </c>
      <c r="J37" s="626">
        <f t="shared" si="2"/>
        <v>3631.9993690000001</v>
      </c>
      <c r="K37" s="712">
        <f t="shared" si="2"/>
        <v>9317.511335318788</v>
      </c>
      <c r="L37" s="626">
        <f t="shared" si="2"/>
        <v>3517.3216339999999</v>
      </c>
      <c r="M37" s="712">
        <f t="shared" si="2"/>
        <v>9524.5151644077068</v>
      </c>
      <c r="N37" s="713">
        <f t="shared" si="2"/>
        <v>3595.4401239999997</v>
      </c>
      <c r="O37" s="627">
        <f t="shared" si="2"/>
        <v>10203.799999999999</v>
      </c>
      <c r="P37" s="713">
        <f t="shared" si="2"/>
        <v>3624.5597189999999</v>
      </c>
      <c r="Q37" s="627">
        <f t="shared" si="2"/>
        <v>17005.8</v>
      </c>
      <c r="R37" s="713">
        <f t="shared" si="2"/>
        <v>6017.1910659999994</v>
      </c>
      <c r="S37" s="627">
        <f t="shared" si="2"/>
        <v>18997.5</v>
      </c>
      <c r="T37" s="335">
        <f t="shared" si="2"/>
        <v>6810.3581700000004</v>
      </c>
      <c r="U37" s="627">
        <v>18334.75</v>
      </c>
      <c r="V37" s="335">
        <v>6750.4400000000005</v>
      </c>
      <c r="W37" s="627"/>
      <c r="X37" s="335">
        <f>SUM(X34:X36)</f>
        <v>6993.9</v>
      </c>
    </row>
    <row r="38" spans="1:24" s="278" customFormat="1" ht="17.25" customHeight="1" x14ac:dyDescent="0.55000000000000004">
      <c r="A38" s="660" t="s">
        <v>67</v>
      </c>
      <c r="B38" s="628" t="s">
        <v>68</v>
      </c>
      <c r="C38" s="702"/>
      <c r="D38" s="702">
        <v>1539.2</v>
      </c>
      <c r="E38" s="630"/>
      <c r="F38" s="703">
        <v>778.7</v>
      </c>
      <c r="G38" s="631"/>
      <c r="H38" s="632">
        <v>780</v>
      </c>
      <c r="I38" s="629"/>
      <c r="J38" s="629">
        <v>780</v>
      </c>
      <c r="K38" s="631"/>
      <c r="L38" s="703">
        <v>1417</v>
      </c>
      <c r="M38" s="701"/>
      <c r="N38" s="703">
        <v>1339</v>
      </c>
      <c r="O38" s="701"/>
      <c r="P38" s="703">
        <v>1287</v>
      </c>
      <c r="Q38" s="701"/>
      <c r="R38" s="703">
        <v>1001</v>
      </c>
      <c r="S38" s="701"/>
      <c r="T38" s="703">
        <v>1001</v>
      </c>
      <c r="U38" s="701">
        <v>0</v>
      </c>
      <c r="V38" s="309">
        <v>910</v>
      </c>
      <c r="W38" s="701"/>
      <c r="X38" s="309">
        <v>910</v>
      </c>
    </row>
    <row r="39" spans="1:24" ht="17.25" customHeight="1" x14ac:dyDescent="0.55000000000000004">
      <c r="A39" s="661" t="s">
        <v>57</v>
      </c>
      <c r="B39" s="696"/>
      <c r="C39" s="695"/>
      <c r="D39" s="695"/>
      <c r="E39" s="633"/>
      <c r="F39" s="696"/>
      <c r="G39" s="633"/>
      <c r="H39" s="696"/>
      <c r="I39" s="695"/>
      <c r="J39" s="696"/>
      <c r="K39" s="633"/>
      <c r="L39" s="696"/>
      <c r="M39" s="633"/>
      <c r="N39" s="696"/>
      <c r="O39" s="633"/>
      <c r="P39" s="634"/>
      <c r="Q39" s="633"/>
      <c r="R39" s="696"/>
      <c r="S39" s="633"/>
      <c r="T39" s="340"/>
      <c r="U39" s="633"/>
      <c r="V39" s="340"/>
      <c r="W39" s="633"/>
      <c r="X39" s="340"/>
    </row>
    <row r="40" spans="1:24" ht="17.25" customHeight="1" x14ac:dyDescent="0.55000000000000004">
      <c r="A40" s="681" t="s">
        <v>12</v>
      </c>
      <c r="B40" s="560" t="s">
        <v>77</v>
      </c>
      <c r="C40" s="594">
        <v>292514082</v>
      </c>
      <c r="D40" s="690">
        <v>151904.7579</v>
      </c>
      <c r="E40" s="594">
        <v>266186702</v>
      </c>
      <c r="F40" s="690">
        <v>114961.2724</v>
      </c>
      <c r="G40" s="594">
        <v>243322646</v>
      </c>
      <c r="H40" s="596">
        <v>111091.2882</v>
      </c>
      <c r="I40" s="578">
        <v>230471425</v>
      </c>
      <c r="J40" s="594">
        <v>105223.94</v>
      </c>
      <c r="K40" s="689">
        <v>254559976.59999999</v>
      </c>
      <c r="L40" s="596">
        <v>99572.065159999998</v>
      </c>
      <c r="M40" s="689">
        <v>261075794.69999999</v>
      </c>
      <c r="N40" s="594">
        <v>102120.7512</v>
      </c>
      <c r="O40" s="689">
        <v>273469830.728966</v>
      </c>
      <c r="P40" s="594">
        <v>103506.9081</v>
      </c>
      <c r="Q40" s="689">
        <v>234351392.76219499</v>
      </c>
      <c r="R40" s="594">
        <v>88700.782900000006</v>
      </c>
      <c r="S40" s="689">
        <v>190974277</v>
      </c>
      <c r="T40" s="334">
        <v>66006.629019999993</v>
      </c>
      <c r="U40" s="689">
        <v>199720220</v>
      </c>
      <c r="V40" s="334">
        <v>69029</v>
      </c>
      <c r="W40" s="689">
        <v>215035180</v>
      </c>
      <c r="X40" s="690">
        <v>70208</v>
      </c>
    </row>
    <row r="41" spans="1:24" ht="17.25" customHeight="1" x14ac:dyDescent="0.55000000000000004">
      <c r="A41" s="681" t="s">
        <v>66</v>
      </c>
      <c r="B41" s="560" t="s">
        <v>27</v>
      </c>
      <c r="C41" s="594">
        <v>526485.23</v>
      </c>
      <c r="D41" s="596">
        <v>2800.1906690000001</v>
      </c>
      <c r="E41" s="594">
        <v>575274.37</v>
      </c>
      <c r="F41" s="596">
        <v>3059.6830279999999</v>
      </c>
      <c r="G41" s="594">
        <v>709589.4</v>
      </c>
      <c r="H41" s="596">
        <v>3774.0576620000002</v>
      </c>
      <c r="I41" s="594">
        <v>709589</v>
      </c>
      <c r="J41" s="594">
        <v>3774.055535</v>
      </c>
      <c r="K41" s="689">
        <v>572791.4</v>
      </c>
      <c r="L41" s="596">
        <v>3046.4769799999999</v>
      </c>
      <c r="M41" s="689">
        <v>930667.9</v>
      </c>
      <c r="N41" s="594">
        <v>4949.8968260000001</v>
      </c>
      <c r="O41" s="689">
        <v>679337.72281813901</v>
      </c>
      <c r="P41" s="596">
        <v>3613.1595790000001</v>
      </c>
      <c r="Q41" s="689">
        <v>1168915.3220774301</v>
      </c>
      <c r="R41" s="594">
        <v>6217.0514780000003</v>
      </c>
      <c r="S41" s="689">
        <v>1747826</v>
      </c>
      <c r="T41" s="334">
        <v>9296.0747549999996</v>
      </c>
      <c r="U41" s="689">
        <v>893811</v>
      </c>
      <c r="V41" s="334">
        <v>4754</v>
      </c>
      <c r="W41" s="689">
        <v>940076</v>
      </c>
      <c r="X41" s="596">
        <v>4999.8999999999996</v>
      </c>
    </row>
    <row r="42" spans="1:24" ht="17.25" hidden="1" customHeight="1" x14ac:dyDescent="0.55000000000000004">
      <c r="A42" s="681" t="s">
        <v>13</v>
      </c>
      <c r="B42" s="560"/>
      <c r="C42" s="571" t="s">
        <v>95</v>
      </c>
      <c r="D42" s="580" t="s">
        <v>95</v>
      </c>
      <c r="E42" s="571" t="s">
        <v>95</v>
      </c>
      <c r="F42" s="580" t="s">
        <v>95</v>
      </c>
      <c r="G42" s="571" t="s">
        <v>95</v>
      </c>
      <c r="H42" s="580" t="s">
        <v>95</v>
      </c>
      <c r="I42" s="575" t="s">
        <v>95</v>
      </c>
      <c r="J42" s="571" t="s">
        <v>95</v>
      </c>
      <c r="K42" s="694" t="s">
        <v>95</v>
      </c>
      <c r="L42" s="570" t="s">
        <v>95</v>
      </c>
      <c r="M42" s="694" t="s">
        <v>95</v>
      </c>
      <c r="N42" s="575" t="s">
        <v>95</v>
      </c>
      <c r="O42" s="694" t="s">
        <v>95</v>
      </c>
      <c r="P42" s="580" t="s">
        <v>95</v>
      </c>
      <c r="Q42" s="694" t="s">
        <v>95</v>
      </c>
      <c r="R42" s="575" t="s">
        <v>95</v>
      </c>
      <c r="S42" s="694" t="s">
        <v>95</v>
      </c>
      <c r="T42" s="686" t="s">
        <v>95</v>
      </c>
      <c r="U42" s="694" t="s">
        <v>166</v>
      </c>
      <c r="V42" s="686">
        <v>33087</v>
      </c>
      <c r="W42" s="694" t="s">
        <v>166</v>
      </c>
      <c r="X42" s="596">
        <v>33086.799999999996</v>
      </c>
    </row>
    <row r="43" spans="1:24" ht="17.25" customHeight="1" x14ac:dyDescent="0.55000000000000004">
      <c r="A43" s="658" t="s">
        <v>58</v>
      </c>
      <c r="B43" s="561"/>
      <c r="C43" s="571" t="s">
        <v>95</v>
      </c>
      <c r="D43" s="596">
        <v>8164.65</v>
      </c>
      <c r="E43" s="571" t="s">
        <v>95</v>
      </c>
      <c r="F43" s="596">
        <v>15356</v>
      </c>
      <c r="G43" s="571" t="s">
        <v>95</v>
      </c>
      <c r="H43" s="596">
        <v>18075</v>
      </c>
      <c r="I43" s="571" t="s">
        <v>95</v>
      </c>
      <c r="J43" s="594">
        <v>17344</v>
      </c>
      <c r="K43" s="574" t="s">
        <v>95</v>
      </c>
      <c r="L43" s="596">
        <v>21351.716090000002</v>
      </c>
      <c r="M43" s="574" t="s">
        <v>95</v>
      </c>
      <c r="N43" s="575">
        <v>21925.12903</v>
      </c>
      <c r="O43" s="572" t="s">
        <v>95</v>
      </c>
      <c r="P43" s="693">
        <v>24241.141250000001</v>
      </c>
      <c r="Q43" s="694" t="s">
        <v>95</v>
      </c>
      <c r="R43" s="594">
        <v>31032.179940000002</v>
      </c>
      <c r="S43" s="572" t="s">
        <v>95</v>
      </c>
      <c r="T43" s="298">
        <v>31422</v>
      </c>
      <c r="U43" s="572" t="s">
        <v>95</v>
      </c>
      <c r="V43" s="298">
        <v>33086.799999999996</v>
      </c>
      <c r="W43" s="572" t="s">
        <v>95</v>
      </c>
      <c r="X43" s="596">
        <v>33086.799999999996</v>
      </c>
    </row>
    <row r="44" spans="1:24" ht="17.25" customHeight="1" thickBot="1" x14ac:dyDescent="0.6">
      <c r="A44" s="658" t="s">
        <v>138</v>
      </c>
      <c r="B44" s="561" t="s">
        <v>77</v>
      </c>
      <c r="C44" s="594">
        <f>C40</f>
        <v>292514082</v>
      </c>
      <c r="D44" s="596">
        <v>9829.7568819999997</v>
      </c>
      <c r="E44" s="594">
        <v>266186702</v>
      </c>
      <c r="F44" s="596">
        <v>6690.7460549999996</v>
      </c>
      <c r="G44" s="594">
        <f>G40</f>
        <v>243322646</v>
      </c>
      <c r="H44" s="596">
        <v>6465.5129749999996</v>
      </c>
      <c r="I44" s="578">
        <v>230471425</v>
      </c>
      <c r="J44" s="594">
        <v>6124.033308</v>
      </c>
      <c r="K44" s="565">
        <f>K40</f>
        <v>254559976.59999999</v>
      </c>
      <c r="L44" s="596">
        <v>9130.7583900000009</v>
      </c>
      <c r="M44" s="565">
        <f>M40</f>
        <v>261075794.69999999</v>
      </c>
      <c r="N44" s="594">
        <v>9364.472898</v>
      </c>
      <c r="O44" s="564">
        <f>O40</f>
        <v>273469830.728966</v>
      </c>
      <c r="P44" s="693">
        <v>5144.2933400000002</v>
      </c>
      <c r="Q44" s="689">
        <f>Q40</f>
        <v>234351392.76219499</v>
      </c>
      <c r="R44" s="594">
        <v>4408.4289150000004</v>
      </c>
      <c r="S44" s="689">
        <f>S40</f>
        <v>190974277</v>
      </c>
      <c r="T44" s="334">
        <v>2963.697643</v>
      </c>
      <c r="U44" s="689">
        <v>199720220</v>
      </c>
      <c r="V44" s="334">
        <v>3099</v>
      </c>
      <c r="W44" s="689"/>
      <c r="X44" s="596">
        <v>3426.1</v>
      </c>
    </row>
    <row r="45" spans="1:24" s="278" customFormat="1" ht="17.25" customHeight="1" thickBot="1" x14ac:dyDescent="0.6">
      <c r="A45" s="613" t="s">
        <v>59</v>
      </c>
      <c r="B45" s="614"/>
      <c r="C45" s="635" t="s">
        <v>95</v>
      </c>
      <c r="D45" s="615">
        <f>SUM(D40:D44)</f>
        <v>172699.35545099998</v>
      </c>
      <c r="E45" s="635"/>
      <c r="F45" s="615">
        <f>SUM(F40:F44)</f>
        <v>140067.70148300001</v>
      </c>
      <c r="G45" s="635"/>
      <c r="H45" s="615">
        <f>SUM(H40:H44)</f>
        <v>139405.85883700001</v>
      </c>
      <c r="I45" s="636"/>
      <c r="J45" s="615">
        <f>SUM(J40:J44)</f>
        <v>132466.02884300001</v>
      </c>
      <c r="K45" s="637"/>
      <c r="L45" s="615">
        <f>SUM(L40:L44)</f>
        <v>133101.01662000001</v>
      </c>
      <c r="M45" s="638"/>
      <c r="N45" s="615">
        <f>SUM(N40:N44)</f>
        <v>138360.249954</v>
      </c>
      <c r="O45" s="638"/>
      <c r="P45" s="615">
        <f>SUM(P40:P44)</f>
        <v>136505.50226900002</v>
      </c>
      <c r="Q45" s="638"/>
      <c r="R45" s="615">
        <f>SUM(R40:R44)</f>
        <v>130358.443233</v>
      </c>
      <c r="S45" s="638"/>
      <c r="T45" s="303">
        <f>SUM(T40:T44)</f>
        <v>109688.40141799999</v>
      </c>
      <c r="U45" s="638"/>
      <c r="V45" s="303">
        <f>V40+V41+V43+V44</f>
        <v>109968.79999999999</v>
      </c>
      <c r="W45" s="638"/>
      <c r="X45" s="303">
        <f>X40+X41+X43+X44</f>
        <v>111720.79999999999</v>
      </c>
    </row>
    <row r="46" spans="1:24" ht="17.25" customHeight="1" x14ac:dyDescent="0.55000000000000004">
      <c r="A46" s="662" t="s">
        <v>60</v>
      </c>
      <c r="B46" s="642"/>
      <c r="C46" s="644"/>
      <c r="D46" s="642"/>
      <c r="E46" s="643"/>
      <c r="F46" s="644"/>
      <c r="G46" s="645"/>
      <c r="H46" s="642"/>
      <c r="I46" s="645"/>
      <c r="J46" s="642"/>
      <c r="K46" s="645"/>
      <c r="L46" s="642"/>
      <c r="M46" s="644">
        <v>73694238</v>
      </c>
      <c r="N46" s="642"/>
      <c r="O46" s="644"/>
      <c r="P46" s="646"/>
      <c r="Q46" s="644"/>
      <c r="R46" s="642"/>
      <c r="S46" s="644"/>
      <c r="T46" s="295"/>
      <c r="U46" s="644"/>
      <c r="V46" s="295"/>
      <c r="W46" s="644"/>
      <c r="X46" s="295"/>
    </row>
    <row r="47" spans="1:24" ht="17.25" customHeight="1" x14ac:dyDescent="0.55000000000000004">
      <c r="A47" s="658" t="s">
        <v>17</v>
      </c>
      <c r="B47" s="561" t="s">
        <v>29</v>
      </c>
      <c r="C47" s="594">
        <v>3639221.4776649466</v>
      </c>
      <c r="D47" s="596">
        <v>795.63335300000006</v>
      </c>
      <c r="E47" s="594">
        <v>3368930.3901257878</v>
      </c>
      <c r="F47" s="596">
        <v>28705.032950000001</v>
      </c>
      <c r="G47" s="594">
        <v>3291372.9506597002</v>
      </c>
      <c r="H47" s="596">
        <v>28769.140459999999</v>
      </c>
      <c r="I47" s="575" t="s">
        <v>95</v>
      </c>
      <c r="J47" s="596">
        <v>32618.179029999999</v>
      </c>
      <c r="K47" s="594">
        <v>3074453</v>
      </c>
      <c r="L47" s="596">
        <v>27364.592960000002</v>
      </c>
      <c r="M47" s="594">
        <v>3142757</v>
      </c>
      <c r="N47" s="596">
        <v>27972.542399999998</v>
      </c>
      <c r="O47" s="594">
        <f>3161580.25</f>
        <v>3161580.25</v>
      </c>
      <c r="P47" s="596">
        <v>29224.622060000002</v>
      </c>
      <c r="Q47" s="594">
        <f>(2.9163*(10^6))</f>
        <v>2916300</v>
      </c>
      <c r="R47" s="596">
        <v>33797.162799999998</v>
      </c>
      <c r="S47" s="594">
        <v>3518250.4862728445</v>
      </c>
      <c r="T47" s="334">
        <v>37144.065349999997</v>
      </c>
      <c r="U47" s="594">
        <v>85169708.549999997</v>
      </c>
      <c r="V47" s="334">
        <v>37623</v>
      </c>
      <c r="W47" s="594">
        <v>82263294</v>
      </c>
      <c r="X47" s="334">
        <v>35850</v>
      </c>
    </row>
    <row r="48" spans="1:24" ht="17.25" customHeight="1" thickBot="1" x14ac:dyDescent="0.6">
      <c r="A48" s="658" t="s">
        <v>18</v>
      </c>
      <c r="B48" s="561" t="s">
        <v>29</v>
      </c>
      <c r="C48" s="575" t="s">
        <v>95</v>
      </c>
      <c r="D48" s="581" t="s">
        <v>95</v>
      </c>
      <c r="E48" s="578">
        <v>63564.724341995992</v>
      </c>
      <c r="F48" s="582">
        <v>463.39060080000002</v>
      </c>
      <c r="G48" s="578">
        <v>62101.376427541509</v>
      </c>
      <c r="H48" s="582">
        <v>465.00470350000001</v>
      </c>
      <c r="I48" s="575" t="s">
        <v>95</v>
      </c>
      <c r="J48" s="582">
        <v>557.58872180000003</v>
      </c>
      <c r="K48" s="578">
        <v>44333</v>
      </c>
      <c r="L48" s="582">
        <v>452.8851464</v>
      </c>
      <c r="M48" s="578">
        <v>45318</v>
      </c>
      <c r="N48" s="582">
        <v>462.94663739999999</v>
      </c>
      <c r="O48" s="578">
        <v>59652.46</v>
      </c>
      <c r="P48" s="582">
        <v>596.42085850000001</v>
      </c>
      <c r="Q48" s="578">
        <v>55025</v>
      </c>
      <c r="R48" s="582">
        <v>562.31460809999999</v>
      </c>
      <c r="S48" s="578">
        <v>66382.084646657444</v>
      </c>
      <c r="T48" s="325">
        <v>618.20683759999997</v>
      </c>
      <c r="U48" s="594">
        <v>1606975.63</v>
      </c>
      <c r="V48" s="334">
        <v>626.16999999999996</v>
      </c>
      <c r="W48" s="594">
        <v>1552138</v>
      </c>
      <c r="X48" s="334">
        <v>780</v>
      </c>
    </row>
    <row r="49" spans="1:24" s="278" customFormat="1" ht="17.25" customHeight="1" thickBot="1" x14ac:dyDescent="0.6">
      <c r="A49" s="647" t="s">
        <v>61</v>
      </c>
      <c r="B49" s="705"/>
      <c r="C49" s="648">
        <f>SUM(C47:C48)</f>
        <v>3639221.4776649466</v>
      </c>
      <c r="D49" s="649">
        <f>SUM(D47:D48)</f>
        <v>795.63335300000006</v>
      </c>
      <c r="E49" s="641"/>
      <c r="F49" s="649">
        <f>SUM(F47:F48)</f>
        <v>29168.423550800002</v>
      </c>
      <c r="G49" s="639"/>
      <c r="H49" s="640">
        <f>H48+H47</f>
        <v>29234.145163499998</v>
      </c>
      <c r="I49" s="641"/>
      <c r="J49" s="640">
        <f>J47+J48</f>
        <v>33175.767751799998</v>
      </c>
      <c r="K49" s="650"/>
      <c r="L49" s="640">
        <f>L47+L48</f>
        <v>27817.478106400002</v>
      </c>
      <c r="M49" s="641"/>
      <c r="N49" s="640">
        <f>N48+N47</f>
        <v>28435.489037399999</v>
      </c>
      <c r="O49" s="641"/>
      <c r="P49" s="640">
        <f>P48+P47</f>
        <v>29821.042918500003</v>
      </c>
      <c r="Q49" s="641"/>
      <c r="R49" s="640">
        <f>R48+R47</f>
        <v>34359.4774081</v>
      </c>
      <c r="S49" s="641"/>
      <c r="T49" s="320">
        <f>T48+T47</f>
        <v>37762.2721876</v>
      </c>
      <c r="U49" s="641"/>
      <c r="V49" s="320">
        <v>38249</v>
      </c>
      <c r="W49" s="641"/>
      <c r="X49" s="320">
        <f>X48+X47</f>
        <v>36630</v>
      </c>
    </row>
    <row r="50" spans="1:24" s="354" customFormat="1" ht="17.25" customHeight="1" thickBot="1" x14ac:dyDescent="0.6">
      <c r="A50" s="761" t="s">
        <v>26</v>
      </c>
      <c r="B50" s="762"/>
      <c r="C50" s="498"/>
      <c r="D50" s="499">
        <f>D49+D45+D32+D37+D14+D8+D38+D10</f>
        <v>681977.6175560999</v>
      </c>
      <c r="E50" s="498"/>
      <c r="F50" s="499">
        <f>F49+F45+F32+F37+F14+F8+F38+F10</f>
        <v>596563.38347540004</v>
      </c>
      <c r="G50" s="498"/>
      <c r="H50" s="499">
        <f>H49+H45+H32+H37+H14+H8+H38+H10</f>
        <v>597457.92674000002</v>
      </c>
      <c r="I50" s="500"/>
      <c r="J50" s="499">
        <f>J49+J45+J32+J37+J14+J8+J38+J10</f>
        <v>572756.73585000006</v>
      </c>
      <c r="K50" s="498"/>
      <c r="L50" s="499">
        <f>L49+L45+L32+L37+L14+L8+L38+L10</f>
        <v>520352.60343830002</v>
      </c>
      <c r="M50" s="498"/>
      <c r="N50" s="499">
        <f>N49+N45+N32+N37+N14+N8+N38+N10</f>
        <v>574786.43040940003</v>
      </c>
      <c r="O50" s="498"/>
      <c r="P50" s="501">
        <f>P49+P45+P32+P37+P14+P8+P38+P10</f>
        <v>541176.20695349993</v>
      </c>
      <c r="Q50" s="498"/>
      <c r="R50" s="499">
        <f>R49+R45+R32+R37+R14+R8+R38+R10</f>
        <v>572609.22039100004</v>
      </c>
      <c r="S50" s="498"/>
      <c r="T50" s="502">
        <f>T49+T45+T32+T37+T14+T8+T38+T10</f>
        <v>520297.73543131998</v>
      </c>
      <c r="U50" s="498"/>
      <c r="V50" s="502">
        <f>V49+V45+V32+V37+V14+V8+V38+V10</f>
        <v>495632.12247</v>
      </c>
      <c r="W50" s="498"/>
      <c r="X50" s="502">
        <f>X49+X45+X32+X37+X14+X8+X38+X10</f>
        <v>501718.39999999991</v>
      </c>
    </row>
    <row r="52" spans="1:24" ht="17.25" customHeight="1" x14ac:dyDescent="0.55000000000000004">
      <c r="A52" s="364" t="s">
        <v>181</v>
      </c>
    </row>
  </sheetData>
  <mergeCells count="12">
    <mergeCell ref="W1:X1"/>
    <mergeCell ref="U1:V1"/>
    <mergeCell ref="A50:B50"/>
    <mergeCell ref="M1:N1"/>
    <mergeCell ref="O1:P1"/>
    <mergeCell ref="S1:T1"/>
    <mergeCell ref="Q1:R1"/>
    <mergeCell ref="C1:D1"/>
    <mergeCell ref="E1:F1"/>
    <mergeCell ref="G1:H1"/>
    <mergeCell ref="I1:J1"/>
    <mergeCell ref="K1:L1"/>
  </mergeCells>
  <pageMargins left="0.7" right="0.7" top="0.75" bottom="0.75" header="0.3" footer="0.3"/>
  <pageSetup paperSize="17" scale="39" orientation="landscape" r:id="rId1"/>
  <ignoredErrors>
    <ignoredError sqref="E37:G37" 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X50"/>
  <sheetViews>
    <sheetView topLeftCell="D1" workbookViewId="0"/>
  </sheetViews>
  <sheetFormatPr defaultRowHeight="14.4" x14ac:dyDescent="0.55000000000000004"/>
  <cols>
    <col min="1" max="1" width="28" customWidth="1"/>
    <col min="2" max="2" width="19.68359375" customWidth="1"/>
    <col min="3" max="3" width="17.41796875" customWidth="1"/>
    <col min="4" max="4" width="10.83984375" customWidth="1"/>
    <col min="5" max="5" width="14.15625" customWidth="1"/>
    <col min="6" max="6" width="12.15625" customWidth="1"/>
    <col min="7" max="7" width="15.15625" customWidth="1"/>
    <col min="8" max="8" width="10.68359375" customWidth="1"/>
    <col min="9" max="9" width="15.15625" bestFit="1" customWidth="1"/>
    <col min="10" max="10" width="15.68359375" bestFit="1" customWidth="1"/>
    <col min="11" max="11" width="15.15625" bestFit="1" customWidth="1"/>
    <col min="12" max="12" width="15.68359375" bestFit="1" customWidth="1"/>
    <col min="13" max="13" width="15.15625" bestFit="1" customWidth="1"/>
    <col min="14" max="14" width="15.68359375" bestFit="1" customWidth="1"/>
    <col min="15" max="15" width="12.15625" bestFit="1" customWidth="1"/>
    <col min="17" max="17" width="10.578125" bestFit="1" customWidth="1"/>
    <col min="20" max="20" width="13.15625" customWidth="1"/>
  </cols>
  <sheetData>
    <row r="1" spans="1:24" x14ac:dyDescent="0.55000000000000004">
      <c r="A1" s="5"/>
      <c r="B1" s="83"/>
      <c r="C1" s="766">
        <v>2006</v>
      </c>
      <c r="D1" s="768"/>
      <c r="E1" s="766">
        <v>2011</v>
      </c>
      <c r="F1" s="768"/>
      <c r="G1" s="767">
        <v>2012</v>
      </c>
      <c r="H1" s="768"/>
      <c r="I1" s="766">
        <v>2013</v>
      </c>
      <c r="J1" s="768"/>
      <c r="K1" s="766">
        <v>2014</v>
      </c>
      <c r="L1" s="768"/>
      <c r="M1" s="766">
        <v>2015</v>
      </c>
      <c r="N1" s="768"/>
      <c r="O1" s="766" t="s">
        <v>36</v>
      </c>
      <c r="P1" s="767"/>
      <c r="Q1" s="767"/>
      <c r="R1" s="767"/>
      <c r="S1" s="768"/>
      <c r="T1" s="766" t="s">
        <v>37</v>
      </c>
      <c r="U1" s="767"/>
      <c r="V1" s="767"/>
      <c r="W1" s="767"/>
      <c r="X1" s="769"/>
    </row>
    <row r="2" spans="1:24" ht="14.7" thickBot="1" x14ac:dyDescent="0.6">
      <c r="A2" s="113" t="s">
        <v>0</v>
      </c>
      <c r="B2" s="114" t="s">
        <v>1</v>
      </c>
      <c r="C2" s="10" t="s">
        <v>38</v>
      </c>
      <c r="D2" s="12" t="s">
        <v>6</v>
      </c>
      <c r="E2" s="11" t="s">
        <v>38</v>
      </c>
      <c r="F2" s="12" t="s">
        <v>6</v>
      </c>
      <c r="G2" s="10" t="s">
        <v>38</v>
      </c>
      <c r="H2" s="12" t="s">
        <v>6</v>
      </c>
      <c r="I2" s="10" t="s">
        <v>38</v>
      </c>
      <c r="J2" s="12" t="s">
        <v>6</v>
      </c>
      <c r="K2" s="10" t="s">
        <v>38</v>
      </c>
      <c r="L2" s="12" t="s">
        <v>6</v>
      </c>
      <c r="M2" s="10" t="s">
        <v>38</v>
      </c>
      <c r="N2" s="12" t="s">
        <v>6</v>
      </c>
      <c r="O2" s="25" t="s">
        <v>2</v>
      </c>
      <c r="P2" s="26" t="s">
        <v>3</v>
      </c>
      <c r="Q2" s="26" t="s">
        <v>4</v>
      </c>
      <c r="R2" s="26" t="s">
        <v>5</v>
      </c>
      <c r="S2" s="42" t="s">
        <v>6</v>
      </c>
      <c r="T2" s="25" t="s">
        <v>2</v>
      </c>
      <c r="U2" s="26" t="s">
        <v>3</v>
      </c>
      <c r="V2" s="26" t="s">
        <v>4</v>
      </c>
      <c r="W2" s="26" t="s">
        <v>5</v>
      </c>
      <c r="X2" s="27" t="s">
        <v>6</v>
      </c>
    </row>
    <row r="3" spans="1:24" s="7" customFormat="1" x14ac:dyDescent="0.55000000000000004">
      <c r="A3" s="14" t="s">
        <v>49</v>
      </c>
      <c r="B3" s="15"/>
      <c r="C3" s="13"/>
      <c r="D3" s="15"/>
      <c r="E3" s="14"/>
      <c r="F3" s="49"/>
      <c r="G3" s="112"/>
      <c r="H3" s="49"/>
      <c r="I3" s="112"/>
      <c r="J3" s="49"/>
      <c r="K3" s="112"/>
      <c r="L3" s="49"/>
      <c r="M3" s="112"/>
      <c r="N3" s="49"/>
      <c r="O3" s="30"/>
      <c r="P3" s="30"/>
      <c r="Q3" s="30"/>
      <c r="R3" s="30"/>
      <c r="S3" s="31"/>
      <c r="T3" s="30"/>
      <c r="U3" s="30"/>
      <c r="V3" s="30"/>
      <c r="W3" s="30"/>
      <c r="X3" s="31"/>
    </row>
    <row r="4" spans="1:24" x14ac:dyDescent="0.55000000000000004">
      <c r="A4" s="35" t="s">
        <v>11</v>
      </c>
      <c r="B4" s="18" t="s">
        <v>27</v>
      </c>
      <c r="C4" s="34">
        <v>21460212.900000002</v>
      </c>
      <c r="D4" s="186">
        <v>114114</v>
      </c>
      <c r="E4" s="187">
        <v>11947782.613329779</v>
      </c>
      <c r="F4" s="186">
        <v>78918</v>
      </c>
      <c r="G4" s="188">
        <v>11880035.613329783</v>
      </c>
      <c r="H4" s="186">
        <v>65074</v>
      </c>
      <c r="I4" s="188">
        <v>14525990.442444999</v>
      </c>
      <c r="J4" s="189">
        <v>78906</v>
      </c>
      <c r="K4" s="34">
        <v>15119930</v>
      </c>
      <c r="L4" s="189">
        <v>80400</v>
      </c>
      <c r="M4" s="188">
        <v>13508075</v>
      </c>
      <c r="N4" s="189">
        <v>78906</v>
      </c>
      <c r="O4" s="124">
        <f>(I4-C4)/C4</f>
        <v>-0.32311992848659032</v>
      </c>
      <c r="P4" s="128" t="e">
        <f>(#REF!-#REF!)/#REF!</f>
        <v>#REF!</v>
      </c>
      <c r="Q4" s="128" t="e">
        <f>(#REF!-#REF!)/#REF!</f>
        <v>#REF!</v>
      </c>
      <c r="R4" s="128" t="e">
        <f>(#REF!-#REF!)/#REF!</f>
        <v>#REF!</v>
      </c>
      <c r="S4" s="129">
        <f>(J4-D4)/D4</f>
        <v>-0.30853357169146645</v>
      </c>
      <c r="T4" s="126">
        <f>(I4-E4)/E4</f>
        <v>0.21578965005931652</v>
      </c>
      <c r="U4" s="126" t="e">
        <f>(#REF!-#REF!)/#REF!</f>
        <v>#REF!</v>
      </c>
      <c r="V4" s="126" t="e">
        <f>(#REF!-#REF!)/#REF!</f>
        <v>#REF!</v>
      </c>
      <c r="W4" s="126" t="e">
        <f>(#REF!-#REF!)/#REF!</f>
        <v>#REF!</v>
      </c>
      <c r="X4" s="32">
        <f>(J4-F4)/F4</f>
        <v>-1.520565650421957E-4</v>
      </c>
    </row>
    <row r="5" spans="1:24" x14ac:dyDescent="0.55000000000000004">
      <c r="A5" s="35" t="s">
        <v>12</v>
      </c>
      <c r="B5" s="18" t="s">
        <v>28</v>
      </c>
      <c r="C5" s="34">
        <v>500858748.21212125</v>
      </c>
      <c r="D5" s="186">
        <v>260219</v>
      </c>
      <c r="E5" s="187">
        <v>485021842</v>
      </c>
      <c r="F5" s="186">
        <v>221535</v>
      </c>
      <c r="G5" s="188">
        <v>522951172.17553854</v>
      </c>
      <c r="H5" s="186">
        <v>184965.0226</v>
      </c>
      <c r="I5" s="188">
        <v>529539418.86188745</v>
      </c>
      <c r="J5" s="189">
        <v>217832.84846609281</v>
      </c>
      <c r="K5" s="188">
        <v>493365094</v>
      </c>
      <c r="L5" s="189">
        <v>186769</v>
      </c>
      <c r="M5" s="188">
        <v>522052141</v>
      </c>
      <c r="N5" s="189">
        <v>217832.84846609281</v>
      </c>
      <c r="O5" s="124">
        <f>(I5-C5)/C5</f>
        <v>5.7262992314989991E-2</v>
      </c>
      <c r="P5" s="128" t="e">
        <f>(#REF!-#REF!)/#REF!</f>
        <v>#REF!</v>
      </c>
      <c r="Q5" s="128" t="e">
        <f>(#REF!-#REF!)/#REF!</f>
        <v>#REF!</v>
      </c>
      <c r="R5" s="128" t="e">
        <f>(#REF!-#REF!)/#REF!</f>
        <v>#REF!</v>
      </c>
      <c r="S5" s="129">
        <f>(J5-D5)/D5</f>
        <v>-0.16288645922821621</v>
      </c>
      <c r="T5" s="126">
        <f>(I5-E5)/E5</f>
        <v>9.1784684743924289E-2</v>
      </c>
      <c r="U5" s="126" t="e">
        <f>(#REF!-#REF!)/#REF!</f>
        <v>#REF!</v>
      </c>
      <c r="V5" s="126" t="e">
        <f>(#REF!-#REF!)/#REF!</f>
        <v>#REF!</v>
      </c>
      <c r="W5" s="126" t="e">
        <f>(#REF!-#REF!)/#REF!</f>
        <v>#REF!</v>
      </c>
      <c r="X5" s="32">
        <f>(J5-F5)/F5</f>
        <v>-1.6711361788914584E-2</v>
      </c>
    </row>
    <row r="6" spans="1:24" x14ac:dyDescent="0.55000000000000004">
      <c r="A6" s="35" t="s">
        <v>13</v>
      </c>
      <c r="B6" s="18" t="s">
        <v>29</v>
      </c>
      <c r="C6" s="34">
        <v>1384554</v>
      </c>
      <c r="D6" s="186">
        <v>14225</v>
      </c>
      <c r="E6" s="190">
        <v>77535.799999999988</v>
      </c>
      <c r="F6" s="186">
        <v>797</v>
      </c>
      <c r="G6" s="191">
        <v>60343.824595291153</v>
      </c>
      <c r="H6" s="192">
        <v>618</v>
      </c>
      <c r="I6" s="191">
        <v>75239.859269550943</v>
      </c>
      <c r="J6" s="193">
        <v>773.20547999999997</v>
      </c>
      <c r="K6" s="191">
        <v>12000</v>
      </c>
      <c r="L6" s="193">
        <v>123</v>
      </c>
      <c r="M6" s="191">
        <v>12000</v>
      </c>
      <c r="N6" s="193">
        <v>773.20547999999997</v>
      </c>
      <c r="O6" s="124">
        <f>(I6-C6)/C6</f>
        <v>-0.94565769246302345</v>
      </c>
      <c r="P6" s="128" t="e">
        <f>(#REF!-#REF!)/#REF!</f>
        <v>#REF!</v>
      </c>
      <c r="Q6" s="128" t="e">
        <f>(#REF!-#REF!)/#REF!</f>
        <v>#REF!</v>
      </c>
      <c r="R6" s="128" t="e">
        <f>(#REF!-#REF!)/#REF!</f>
        <v>#REF!</v>
      </c>
      <c r="S6" s="129">
        <f>(J6-D6)/D6</f>
        <v>-0.94564460597539535</v>
      </c>
      <c r="T6" s="126">
        <f>(I6-E6)/E6</f>
        <v>-2.9611363143851554E-2</v>
      </c>
      <c r="U6" s="126" t="e">
        <f>(#REF!-#REF!)/#REF!</f>
        <v>#REF!</v>
      </c>
      <c r="V6" s="126" t="e">
        <f>(#REF!-#REF!)/#REF!</f>
        <v>#REF!</v>
      </c>
      <c r="W6" s="126" t="e">
        <f>(#REF!-#REF!)/#REF!</f>
        <v>#REF!</v>
      </c>
      <c r="X6" s="32">
        <f>(J6-F6)/F6</f>
        <v>-2.9855106649937308E-2</v>
      </c>
    </row>
    <row r="7" spans="1:24" x14ac:dyDescent="0.55000000000000004">
      <c r="A7" s="101" t="s">
        <v>50</v>
      </c>
      <c r="B7" s="85" t="s">
        <v>70</v>
      </c>
      <c r="C7" s="34">
        <v>80020</v>
      </c>
      <c r="D7" s="186">
        <v>5755</v>
      </c>
      <c r="E7" s="194">
        <v>75785</v>
      </c>
      <c r="F7" s="186">
        <v>5385</v>
      </c>
      <c r="G7" s="188">
        <v>65352.029048843193</v>
      </c>
      <c r="H7" s="194">
        <v>4646</v>
      </c>
      <c r="I7" s="188">
        <v>84315.908455807425</v>
      </c>
      <c r="J7" s="189">
        <v>6038</v>
      </c>
      <c r="K7" s="188">
        <v>70158</v>
      </c>
      <c r="L7" s="189">
        <v>4985</v>
      </c>
      <c r="M7" s="188">
        <v>60461</v>
      </c>
      <c r="N7" s="189">
        <v>6038</v>
      </c>
      <c r="O7" s="124">
        <f>(I7-C7)/C7</f>
        <v>5.3685434339008055E-2</v>
      </c>
      <c r="P7" s="128" t="e">
        <f>(#REF!-#REF!)/#REF!</f>
        <v>#REF!</v>
      </c>
      <c r="Q7" s="128" t="e">
        <f>(#REF!-#REF!)/#REF!</f>
        <v>#REF!</v>
      </c>
      <c r="R7" s="128" t="e">
        <f>(#REF!-#REF!)/#REF!</f>
        <v>#REF!</v>
      </c>
      <c r="S7" s="129">
        <f>(J7-D7)/D7</f>
        <v>4.9174630755864465E-2</v>
      </c>
      <c r="T7" s="126">
        <f>(I7-E7)/E7</f>
        <v>0.11256724227495447</v>
      </c>
      <c r="U7" s="126" t="e">
        <f>(#REF!-#REF!)/#REF!</f>
        <v>#REF!</v>
      </c>
      <c r="V7" s="126" t="e">
        <f>(#REF!-#REF!)/#REF!</f>
        <v>#REF!</v>
      </c>
      <c r="W7" s="126" t="e">
        <f>(#REF!-#REF!)/#REF!</f>
        <v>#REF!</v>
      </c>
      <c r="X7" s="32">
        <f>(J7-F7)/F7</f>
        <v>0.1212627669452182</v>
      </c>
    </row>
    <row r="8" spans="1:24" ht="14.7" thickBot="1" x14ac:dyDescent="0.6">
      <c r="A8" s="69" t="s">
        <v>51</v>
      </c>
      <c r="B8" s="70"/>
      <c r="C8" s="108"/>
      <c r="D8" s="195">
        <f>SUM(D4:D7)</f>
        <v>394313</v>
      </c>
      <c r="E8" s="196"/>
      <c r="F8" s="195">
        <f>SUM(F4:F7)</f>
        <v>306635</v>
      </c>
      <c r="G8" s="197"/>
      <c r="H8" s="195">
        <f t="shared" ref="H8" si="0">SUM(H4:H7)</f>
        <v>255303.0226</v>
      </c>
      <c r="I8" s="197"/>
      <c r="J8" s="198">
        <f>SUM(J4:J7)</f>
        <v>303550.05394609284</v>
      </c>
      <c r="K8" s="197"/>
      <c r="L8" s="198">
        <f>SUM(L4:L7)</f>
        <v>272277</v>
      </c>
      <c r="M8" s="197"/>
      <c r="N8" s="198">
        <f>SUM(N4:N7)</f>
        <v>303550.05394609284</v>
      </c>
      <c r="O8" s="123"/>
      <c r="P8" s="123" t="e">
        <f>(#REF!-#REF!)/#REF!</f>
        <v>#REF!</v>
      </c>
      <c r="Q8" s="123" t="e">
        <f>(#REF!-#REF!)/#REF!</f>
        <v>#REF!</v>
      </c>
      <c r="R8" s="123" t="e">
        <f>(#REF!-#REF!)/#REF!</f>
        <v>#REF!</v>
      </c>
      <c r="S8" s="130">
        <f>(J8-D8)/D8</f>
        <v>-0.2301799485533248</v>
      </c>
      <c r="T8" s="109"/>
      <c r="U8" s="123" t="e">
        <f>(#REF!-#REF!)/#REF!</f>
        <v>#REF!</v>
      </c>
      <c r="V8" s="123" t="e">
        <f>(#REF!-#REF!)/#REF!</f>
        <v>#REF!</v>
      </c>
      <c r="W8" s="123" t="e">
        <f>(#REF!-#REF!)/#REF!</f>
        <v>#REF!</v>
      </c>
      <c r="X8" s="130">
        <f>(J8-F8)/F8</f>
        <v>-1.0060645568533137E-2</v>
      </c>
    </row>
    <row r="9" spans="1:24" x14ac:dyDescent="0.55000000000000004">
      <c r="A9" s="19" t="s">
        <v>52</v>
      </c>
      <c r="B9" s="86"/>
      <c r="C9" s="94"/>
      <c r="D9" s="199"/>
      <c r="E9" s="200"/>
      <c r="F9" s="201"/>
      <c r="G9" s="202"/>
      <c r="H9" s="199"/>
      <c r="I9" s="201"/>
      <c r="J9" s="199"/>
      <c r="K9" s="201"/>
      <c r="L9" s="199"/>
      <c r="M9" s="201"/>
      <c r="N9" s="199"/>
      <c r="O9" s="77"/>
      <c r="P9" s="77"/>
      <c r="Q9" s="77"/>
      <c r="R9" s="77"/>
      <c r="S9" s="132"/>
      <c r="T9" s="77"/>
      <c r="U9" s="77"/>
      <c r="V9" s="77"/>
      <c r="W9" s="77"/>
      <c r="X9" s="86"/>
    </row>
    <row r="10" spans="1:24" x14ac:dyDescent="0.55000000000000004">
      <c r="A10" s="35" t="s">
        <v>12</v>
      </c>
      <c r="B10" s="1" t="s">
        <v>28</v>
      </c>
      <c r="C10" s="34">
        <v>87734545</v>
      </c>
      <c r="D10" s="186">
        <v>45582</v>
      </c>
      <c r="E10" s="187">
        <v>84180622</v>
      </c>
      <c r="F10" s="189">
        <v>38450</v>
      </c>
      <c r="G10" s="188">
        <v>83884151</v>
      </c>
      <c r="H10" s="203">
        <v>37627.537219999998</v>
      </c>
      <c r="I10" s="188">
        <v>87933183</v>
      </c>
      <c r="J10" s="204">
        <v>34407.345668504597</v>
      </c>
      <c r="K10" s="188">
        <v>88684857</v>
      </c>
      <c r="L10" s="204">
        <v>34523</v>
      </c>
      <c r="M10" s="188">
        <v>88047617</v>
      </c>
      <c r="N10" s="204">
        <v>34407.345668504597</v>
      </c>
      <c r="O10" s="176">
        <f>(I10-C10)/C10</f>
        <v>2.2640796735197066E-3</v>
      </c>
      <c r="P10" s="128" t="e">
        <f>(#REF!-#REF!)/#REF!</f>
        <v>#REF!</v>
      </c>
      <c r="Q10" s="128" t="e">
        <f>(#REF!-#REF!)/#REF!</f>
        <v>#REF!</v>
      </c>
      <c r="R10" s="128" t="e">
        <f>(#REF!-#REF!)/#REF!</f>
        <v>#REF!</v>
      </c>
      <c r="S10" s="129">
        <f>(J10-D10)/D10</f>
        <v>-0.24515498072694053</v>
      </c>
      <c r="T10" s="71"/>
      <c r="U10" s="71"/>
      <c r="V10" s="71"/>
      <c r="W10" s="71"/>
      <c r="X10" s="93"/>
    </row>
    <row r="11" spans="1:24" ht="14.7" thickBot="1" x14ac:dyDescent="0.6">
      <c r="A11" s="72" t="s">
        <v>53</v>
      </c>
      <c r="B11" s="87"/>
      <c r="C11" s="95"/>
      <c r="D11" s="205">
        <f>D10</f>
        <v>45582</v>
      </c>
      <c r="E11" s="206">
        <f>E10</f>
        <v>84180622</v>
      </c>
      <c r="F11" s="206">
        <f t="shared" ref="F11:J11" si="1">F10</f>
        <v>38450</v>
      </c>
      <c r="G11" s="207">
        <f>G10</f>
        <v>83884151</v>
      </c>
      <c r="H11" s="205">
        <f t="shared" si="1"/>
        <v>37627.537219999998</v>
      </c>
      <c r="I11" s="207">
        <f>I10</f>
        <v>87933183</v>
      </c>
      <c r="J11" s="205">
        <f t="shared" si="1"/>
        <v>34407.345668504597</v>
      </c>
      <c r="K11" s="207"/>
      <c r="L11" s="205">
        <f t="shared" ref="L11:N11" si="2">L10</f>
        <v>34523</v>
      </c>
      <c r="M11" s="207">
        <f>M10</f>
        <v>88047617</v>
      </c>
      <c r="N11" s="205">
        <f t="shared" si="2"/>
        <v>34407.345668504597</v>
      </c>
      <c r="O11" s="78"/>
      <c r="P11" s="131" t="e">
        <f>(#REF!-#REF!)/#REF!</f>
        <v>#REF!</v>
      </c>
      <c r="Q11" s="131" t="e">
        <f>(#REF!-#REF!)/#REF!</f>
        <v>#REF!</v>
      </c>
      <c r="R11" s="131" t="e">
        <f>(#REF!-#REF!)/#REF!</f>
        <v>#REF!</v>
      </c>
      <c r="S11" s="133">
        <f>(J11-D11)/D11</f>
        <v>-0.24515498072694053</v>
      </c>
      <c r="T11" s="78"/>
      <c r="U11" s="78"/>
      <c r="V11" s="78"/>
      <c r="W11" s="78"/>
      <c r="X11" s="87"/>
    </row>
    <row r="12" spans="1:24" x14ac:dyDescent="0.55000000000000004">
      <c r="A12" s="74" t="s">
        <v>39</v>
      </c>
      <c r="B12" s="88"/>
      <c r="C12" s="96"/>
      <c r="D12" s="208"/>
      <c r="E12" s="209"/>
      <c r="F12" s="208"/>
      <c r="G12" s="210"/>
      <c r="H12" s="208"/>
      <c r="I12" s="210"/>
      <c r="J12" s="208"/>
      <c r="K12" s="210"/>
      <c r="L12" s="208"/>
      <c r="M12" s="210"/>
      <c r="N12" s="208"/>
      <c r="O12" s="75"/>
      <c r="P12" s="75"/>
      <c r="Q12" s="75"/>
      <c r="R12" s="75"/>
      <c r="S12" s="88"/>
      <c r="T12" s="75"/>
      <c r="U12" s="75"/>
      <c r="V12" s="75"/>
      <c r="W12" s="75"/>
      <c r="X12" s="88"/>
    </row>
    <row r="13" spans="1:24" x14ac:dyDescent="0.55000000000000004">
      <c r="A13" s="16" t="s">
        <v>22</v>
      </c>
      <c r="B13" s="18" t="s">
        <v>24</v>
      </c>
      <c r="C13">
        <v>2685</v>
      </c>
      <c r="D13" s="186">
        <v>760</v>
      </c>
      <c r="E13" s="194">
        <v>962</v>
      </c>
      <c r="F13" s="186">
        <v>556</v>
      </c>
      <c r="G13" s="211">
        <v>931.75113353187862</v>
      </c>
      <c r="H13" s="212">
        <v>539</v>
      </c>
      <c r="I13" s="211">
        <v>952.45151644077077</v>
      </c>
      <c r="J13" s="212">
        <v>550</v>
      </c>
      <c r="K13" s="211">
        <v>5555.4</v>
      </c>
      <c r="L13" s="212">
        <v>1795.8872140000001</v>
      </c>
      <c r="M13" s="211">
        <v>952.45151644077077</v>
      </c>
      <c r="N13" s="212">
        <v>550</v>
      </c>
      <c r="S13" s="93"/>
      <c r="T13" s="126">
        <f>(I13-E13)/E13</f>
        <v>-9.9256585854773649E-3</v>
      </c>
      <c r="U13" s="126"/>
      <c r="V13" s="126" t="e">
        <f>(#REF!-#REF!)/#REF!</f>
        <v>#REF!</v>
      </c>
      <c r="W13" s="126"/>
      <c r="X13" s="32">
        <f>(J13-F13)/F13</f>
        <v>-1.0791366906474821E-2</v>
      </c>
    </row>
    <row r="14" spans="1:24" x14ac:dyDescent="0.55000000000000004">
      <c r="A14" s="16" t="s">
        <v>23</v>
      </c>
      <c r="B14" s="18" t="s">
        <v>24</v>
      </c>
      <c r="C14" s="92">
        <v>0</v>
      </c>
      <c r="D14" s="213">
        <v>0</v>
      </c>
      <c r="E14" s="194">
        <v>8658.9</v>
      </c>
      <c r="F14" s="186">
        <v>3010</v>
      </c>
      <c r="G14" s="211">
        <v>8385.7602017869085</v>
      </c>
      <c r="H14" s="212">
        <v>2917</v>
      </c>
      <c r="I14" s="211">
        <v>8572.0636479669356</v>
      </c>
      <c r="J14" s="212">
        <v>2981</v>
      </c>
      <c r="K14" s="211">
        <v>4648.3999999999996</v>
      </c>
      <c r="L14" s="212">
        <v>1613.1660400000001</v>
      </c>
      <c r="M14" s="211">
        <v>8572.0636479669356</v>
      </c>
      <c r="N14" s="212">
        <v>2981</v>
      </c>
      <c r="O14" s="117"/>
      <c r="S14" s="93"/>
      <c r="T14" s="126">
        <f>(I14-E14)/E14</f>
        <v>-1.0028566218926657E-2</v>
      </c>
      <c r="U14" s="126" t="e">
        <f>(#REF!-#REF!)/#REF!</f>
        <v>#REF!</v>
      </c>
      <c r="V14" s="126" t="e">
        <f>(#REF!-#REF!)/#REF!</f>
        <v>#REF!</v>
      </c>
      <c r="W14" s="126" t="e">
        <f>(#REF!-#REF!)/#REF!</f>
        <v>#REF!</v>
      </c>
      <c r="X14" s="32">
        <f>(J14-F14)/F14</f>
        <v>-9.6345514950166109E-3</v>
      </c>
    </row>
    <row r="15" spans="1:24" ht="14.7" thickBot="1" x14ac:dyDescent="0.6">
      <c r="A15" s="76" t="s">
        <v>54</v>
      </c>
      <c r="B15" s="89"/>
      <c r="C15" s="97">
        <f>C14+C13</f>
        <v>2685</v>
      </c>
      <c r="D15" s="214">
        <f>D13+D14</f>
        <v>760</v>
      </c>
      <c r="E15" s="215">
        <f t="shared" ref="E15:I15" si="3">SUM(E13:E14)</f>
        <v>9620.9</v>
      </c>
      <c r="F15" s="214">
        <f>SUM(F13:F14)</f>
        <v>3566</v>
      </c>
      <c r="G15" s="216">
        <f t="shared" si="3"/>
        <v>9317.511335318788</v>
      </c>
      <c r="H15" s="214">
        <f>SUM(H13:H14)</f>
        <v>3456</v>
      </c>
      <c r="I15" s="216">
        <f t="shared" si="3"/>
        <v>9524.5151644077068</v>
      </c>
      <c r="J15" s="215">
        <f>SUM(J13:J14)</f>
        <v>3531</v>
      </c>
      <c r="K15" s="216"/>
      <c r="L15" s="215">
        <f>SUM(L13:L14)</f>
        <v>3409.0532540000004</v>
      </c>
      <c r="M15" s="216">
        <f t="shared" ref="M15" si="4">SUM(M13:M14)</f>
        <v>9524.5151644077068</v>
      </c>
      <c r="N15" s="215">
        <f>SUM(N13:N14)</f>
        <v>3531</v>
      </c>
      <c r="O15" s="136">
        <f>(I15-C15)/C15</f>
        <v>2.5473054616043602</v>
      </c>
      <c r="P15" s="134" t="e">
        <f>(#REF!-#REF!)/#REF!</f>
        <v>#REF!</v>
      </c>
      <c r="Q15" s="134" t="e">
        <f>(#REF!-#REF!)/#REF!</f>
        <v>#REF!</v>
      </c>
      <c r="R15" s="134" t="e">
        <f>(#REF!-#REF!)/#REF!</f>
        <v>#REF!</v>
      </c>
      <c r="S15" s="135">
        <f>(J15-D15)/D15</f>
        <v>3.6460526315789474</v>
      </c>
      <c r="T15" s="134">
        <f>(I15-E15)/E15</f>
        <v>-1.0018276418244947E-2</v>
      </c>
      <c r="U15" s="134" t="e">
        <f>(#REF!-#REF!)/#REF!</f>
        <v>#REF!</v>
      </c>
      <c r="V15" s="134" t="e">
        <f>(#REF!-#REF!)/#REF!</f>
        <v>#REF!</v>
      </c>
      <c r="W15" s="134" t="e">
        <f>(#REF!-#REF!)/#REF!</f>
        <v>#REF!</v>
      </c>
      <c r="X15" s="135">
        <f>(J15-F15)/F15</f>
        <v>-9.8149186763881093E-3</v>
      </c>
    </row>
    <row r="16" spans="1:24" x14ac:dyDescent="0.55000000000000004">
      <c r="A16" s="80" t="s">
        <v>55</v>
      </c>
      <c r="B16" s="103"/>
      <c r="C16" s="98"/>
      <c r="D16" s="217"/>
      <c r="E16" s="218"/>
      <c r="F16" s="217"/>
      <c r="G16" s="219"/>
      <c r="H16" s="217"/>
      <c r="I16" s="219"/>
      <c r="J16" s="220"/>
      <c r="K16" s="219"/>
      <c r="L16" s="220"/>
      <c r="M16" s="219"/>
      <c r="N16" s="220"/>
      <c r="O16" s="79"/>
      <c r="P16" s="79"/>
      <c r="Q16" s="79"/>
      <c r="R16" s="79"/>
      <c r="S16" s="90"/>
      <c r="T16" s="79"/>
      <c r="U16" s="79"/>
      <c r="V16" s="79"/>
      <c r="W16" s="79"/>
      <c r="X16" s="90"/>
    </row>
    <row r="17" spans="1:24" x14ac:dyDescent="0.55000000000000004">
      <c r="A17" s="100" t="s">
        <v>62</v>
      </c>
      <c r="B17" s="18" t="s">
        <v>87</v>
      </c>
      <c r="C17" s="34">
        <v>94725</v>
      </c>
      <c r="D17" s="186">
        <v>661</v>
      </c>
      <c r="E17" s="222">
        <v>62394.53</v>
      </c>
      <c r="F17" s="189">
        <v>410</v>
      </c>
      <c r="G17" s="188">
        <v>62171.59</v>
      </c>
      <c r="H17" s="186">
        <v>452</v>
      </c>
      <c r="I17" s="188">
        <v>67567.554999999993</v>
      </c>
      <c r="J17" s="186">
        <v>518</v>
      </c>
      <c r="K17" s="188">
        <v>61353</v>
      </c>
      <c r="L17" s="186">
        <v>32.201000000000001</v>
      </c>
      <c r="M17" s="188">
        <v>67567.554999999993</v>
      </c>
      <c r="N17" s="186">
        <v>518</v>
      </c>
      <c r="O17" s="126">
        <f>(I17-C17)/C17</f>
        <v>-0.28669775666402753</v>
      </c>
      <c r="P17" s="126" t="e">
        <f>(#REF!-#REF!)/#REF!</f>
        <v>#REF!</v>
      </c>
      <c r="Q17" s="126" t="e">
        <f>(#REF!-#REF!)/#REF!</f>
        <v>#REF!</v>
      </c>
      <c r="R17" s="126" t="e">
        <f>(#REF!-#REF!)/#REF!</f>
        <v>#REF!</v>
      </c>
      <c r="S17" s="32">
        <f>(J17-D17)/D17</f>
        <v>-0.21633888048411498</v>
      </c>
      <c r="X17" s="93"/>
    </row>
    <row r="18" spans="1:24" x14ac:dyDescent="0.55000000000000004">
      <c r="A18" s="100" t="s">
        <v>18</v>
      </c>
      <c r="B18" s="18" t="s">
        <v>29</v>
      </c>
      <c r="C18" s="34">
        <v>2252289.5779069802</v>
      </c>
      <c r="D18" s="186">
        <v>22907</v>
      </c>
      <c r="E18" s="222">
        <v>1778109.29</v>
      </c>
      <c r="F18" s="189">
        <v>18175</v>
      </c>
      <c r="G18" s="188">
        <v>817937.80900000001</v>
      </c>
      <c r="H18" s="186">
        <v>8359</v>
      </c>
      <c r="I18" s="188">
        <v>562255.95000000007</v>
      </c>
      <c r="J18" s="186">
        <v>5747</v>
      </c>
      <c r="K18" s="188">
        <f>326822+42958</f>
        <v>369780</v>
      </c>
      <c r="L18" s="186">
        <f>3337.7557+512.43966</f>
        <v>3850.1953600000002</v>
      </c>
      <c r="M18" s="188">
        <v>562255.95000000007</v>
      </c>
      <c r="N18" s="186">
        <v>5747</v>
      </c>
      <c r="O18" s="126">
        <f>(I18-C18)/C18</f>
        <v>-0.75036249534018784</v>
      </c>
      <c r="S18" s="93"/>
      <c r="X18" s="93"/>
    </row>
    <row r="19" spans="1:24" x14ac:dyDescent="0.55000000000000004">
      <c r="A19" s="100" t="s">
        <v>63</v>
      </c>
      <c r="B19" s="18" t="s">
        <v>29</v>
      </c>
      <c r="C19" s="189">
        <v>0</v>
      </c>
      <c r="D19" s="186">
        <v>0</v>
      </c>
      <c r="E19" s="222">
        <v>56854.69</v>
      </c>
      <c r="F19" s="189">
        <v>0.65364999999999995</v>
      </c>
      <c r="G19" s="188">
        <v>1371703.8059999999</v>
      </c>
      <c r="H19" s="186">
        <v>12408</v>
      </c>
      <c r="I19" s="188">
        <v>1235128.4870000002</v>
      </c>
      <c r="J19" s="186">
        <v>10985</v>
      </c>
      <c r="K19" s="188">
        <f>1140892+79656</f>
        <v>1220548</v>
      </c>
      <c r="L19" s="186">
        <f>9981.453+689.86</f>
        <v>10671.313</v>
      </c>
      <c r="M19" s="188">
        <v>1235128.4870000002</v>
      </c>
      <c r="N19" s="186">
        <v>10985</v>
      </c>
      <c r="O19" s="126" t="e">
        <f>(I19-C19)/C19</f>
        <v>#DIV/0!</v>
      </c>
      <c r="S19" s="93"/>
      <c r="X19" s="93"/>
    </row>
    <row r="20" spans="1:24" x14ac:dyDescent="0.55000000000000004">
      <c r="A20" s="100" t="s">
        <v>64</v>
      </c>
      <c r="B20" s="18" t="s">
        <v>29</v>
      </c>
      <c r="C20" s="34">
        <v>97170.5</v>
      </c>
      <c r="D20" s="213">
        <v>144</v>
      </c>
      <c r="E20" s="223">
        <v>72232.070000000007</v>
      </c>
      <c r="F20" s="194">
        <v>130</v>
      </c>
      <c r="G20" s="188">
        <v>235240.21299999999</v>
      </c>
      <c r="H20" s="186">
        <v>372</v>
      </c>
      <c r="I20" s="188">
        <v>364116.99100000004</v>
      </c>
      <c r="J20" s="186">
        <v>573</v>
      </c>
      <c r="K20" s="188">
        <f>369825</f>
        <v>369825</v>
      </c>
      <c r="L20" s="186">
        <v>550.78899999999999</v>
      </c>
      <c r="M20" s="188">
        <v>364116.99100000004</v>
      </c>
      <c r="N20" s="186">
        <v>573</v>
      </c>
      <c r="O20" s="126">
        <f>(I20-C20)/C20</f>
        <v>2.7471968447213921</v>
      </c>
      <c r="S20" s="93"/>
      <c r="X20" s="93"/>
    </row>
    <row r="21" spans="1:24" x14ac:dyDescent="0.55000000000000004">
      <c r="A21" s="100" t="s">
        <v>17</v>
      </c>
      <c r="B21" s="18" t="s">
        <v>29</v>
      </c>
      <c r="C21" s="34">
        <v>2521172.3959999997</v>
      </c>
      <c r="D21" s="186">
        <v>22566</v>
      </c>
      <c r="E21" s="204">
        <v>2640943.0699999998</v>
      </c>
      <c r="F21" s="194">
        <v>23945</v>
      </c>
      <c r="G21" s="188">
        <v>2475939.8710000003</v>
      </c>
      <c r="H21" s="186">
        <v>21895</v>
      </c>
      <c r="I21" s="188">
        <v>2588178.2920000004</v>
      </c>
      <c r="J21" s="186">
        <v>22887</v>
      </c>
      <c r="K21" s="188">
        <f>2705944+37891</f>
        <v>2743835</v>
      </c>
      <c r="L21" s="186">
        <f>23902.19+336.0035043</f>
        <v>24238.193504299998</v>
      </c>
      <c r="M21" s="188">
        <v>2588178.2920000004</v>
      </c>
      <c r="N21" s="186">
        <v>22887</v>
      </c>
      <c r="O21" s="126">
        <f>(I21-C21)/C21</f>
        <v>2.6577276550508708E-2</v>
      </c>
      <c r="S21" s="93"/>
      <c r="X21" s="93"/>
    </row>
    <row r="22" spans="1:24" ht="14.7" thickBot="1" x14ac:dyDescent="0.6">
      <c r="A22" s="81" t="s">
        <v>56</v>
      </c>
      <c r="B22" s="91"/>
      <c r="C22" s="82"/>
      <c r="D22" s="224">
        <f>SUM(D17:D21)</f>
        <v>46278</v>
      </c>
      <c r="E22" s="225"/>
      <c r="F22" s="226">
        <f>SUM(F17:F21)</f>
        <v>42660.65365</v>
      </c>
      <c r="G22" s="227"/>
      <c r="H22" s="226">
        <f>SUM(H17:H21)</f>
        <v>43486</v>
      </c>
      <c r="I22" s="227"/>
      <c r="J22" s="226">
        <f>SUM(J17:J21)</f>
        <v>40710</v>
      </c>
      <c r="K22" s="227">
        <f>SUM(K17:K21)</f>
        <v>4765341</v>
      </c>
      <c r="L22" s="226">
        <f>SUM(L17:L21)</f>
        <v>39342.691864299995</v>
      </c>
      <c r="M22" s="227"/>
      <c r="N22" s="226">
        <f>SUM(N17:N21)</f>
        <v>40710</v>
      </c>
      <c r="O22" s="82"/>
      <c r="P22" s="82"/>
      <c r="Q22" s="82"/>
      <c r="R22" s="82"/>
      <c r="S22" s="137">
        <f>(J22-D22)/D22</f>
        <v>-0.12031634902113315</v>
      </c>
      <c r="T22" s="82"/>
      <c r="U22" s="82"/>
      <c r="V22" s="82"/>
      <c r="W22" s="82"/>
      <c r="X22" s="137">
        <f>(J22-F22)/F22</f>
        <v>-4.5724888934044736E-2</v>
      </c>
    </row>
    <row r="23" spans="1:24" x14ac:dyDescent="0.55000000000000004">
      <c r="A23" s="148" t="s">
        <v>90</v>
      </c>
      <c r="B23" s="145" t="s">
        <v>68</v>
      </c>
      <c r="C23" s="235">
        <v>1.1839999999999999</v>
      </c>
      <c r="D23" s="228">
        <v>1693</v>
      </c>
      <c r="E23" s="238">
        <v>0.6</v>
      </c>
      <c r="F23" s="229">
        <v>780</v>
      </c>
      <c r="G23" s="236">
        <v>0.6</v>
      </c>
      <c r="H23" s="228">
        <v>858</v>
      </c>
      <c r="I23" s="237">
        <v>0.6</v>
      </c>
      <c r="J23" s="228">
        <v>858</v>
      </c>
      <c r="K23" s="237"/>
      <c r="L23" s="228"/>
      <c r="M23" s="237">
        <v>0.6</v>
      </c>
      <c r="N23" s="228">
        <v>858</v>
      </c>
      <c r="O23" s="147"/>
      <c r="P23" s="147"/>
      <c r="Q23" s="147"/>
      <c r="R23" s="147"/>
      <c r="S23" s="146"/>
      <c r="T23" s="147"/>
      <c r="U23" s="147"/>
      <c r="V23" s="147"/>
      <c r="W23" s="147"/>
      <c r="X23" s="146"/>
    </row>
    <row r="24" spans="1:24" x14ac:dyDescent="0.55000000000000004">
      <c r="A24" s="149" t="s">
        <v>57</v>
      </c>
      <c r="B24" s="150"/>
      <c r="C24" s="149"/>
      <c r="D24" s="177"/>
      <c r="E24" s="178"/>
      <c r="F24" s="177"/>
      <c r="G24" s="179"/>
      <c r="H24" s="177"/>
      <c r="I24" s="179"/>
      <c r="J24" s="177"/>
      <c r="K24" s="179"/>
      <c r="L24" s="177"/>
      <c r="M24" s="179"/>
      <c r="N24" s="177"/>
      <c r="O24" s="149"/>
      <c r="P24" s="149"/>
      <c r="Q24" s="149"/>
      <c r="R24" s="149"/>
      <c r="S24" s="150"/>
      <c r="T24" s="149"/>
      <c r="U24" s="149"/>
      <c r="V24" s="149"/>
      <c r="W24" s="149"/>
      <c r="X24" s="150"/>
    </row>
    <row r="25" spans="1:24" x14ac:dyDescent="0.55000000000000004">
      <c r="A25" s="35" t="s">
        <v>12</v>
      </c>
      <c r="B25" s="18" t="s">
        <v>28</v>
      </c>
      <c r="C25" s="50">
        <v>292514082</v>
      </c>
      <c r="D25" s="186">
        <v>151975</v>
      </c>
      <c r="E25" s="222">
        <v>230471425</v>
      </c>
      <c r="F25" s="186">
        <v>105268</v>
      </c>
      <c r="G25" s="188">
        <v>254559976.59999999</v>
      </c>
      <c r="H25" s="186">
        <v>99606.687820000006</v>
      </c>
      <c r="I25" s="188">
        <v>261075794.69999999</v>
      </c>
      <c r="J25" s="186">
        <v>102156.260099472</v>
      </c>
      <c r="K25" s="188">
        <v>273469831</v>
      </c>
      <c r="L25" s="186">
        <v>103525.25</v>
      </c>
      <c r="M25" s="188">
        <v>261075794.69999999</v>
      </c>
      <c r="N25" s="186">
        <v>102156.260099472</v>
      </c>
      <c r="O25" s="126">
        <f>(I25-C25)/C25</f>
        <v>-0.10747614981490024</v>
      </c>
      <c r="S25" s="93"/>
      <c r="X25" s="93"/>
    </row>
    <row r="26" spans="1:24" x14ac:dyDescent="0.55000000000000004">
      <c r="A26" s="35" t="s">
        <v>66</v>
      </c>
      <c r="B26" s="18" t="s">
        <v>27</v>
      </c>
      <c r="C26">
        <v>526485.23</v>
      </c>
      <c r="D26" s="186">
        <v>2800</v>
      </c>
      <c r="E26" s="187">
        <v>709589</v>
      </c>
      <c r="F26" s="186">
        <v>3773</v>
      </c>
      <c r="G26" s="188">
        <v>572791.4</v>
      </c>
      <c r="H26" s="186">
        <v>3046</v>
      </c>
      <c r="I26" s="188">
        <v>930667.9</v>
      </c>
      <c r="J26" s="186">
        <v>4949</v>
      </c>
      <c r="K26" s="188">
        <v>679338</v>
      </c>
      <c r="L26" s="186">
        <v>3612.36</v>
      </c>
      <c r="M26" s="188">
        <v>930667.9</v>
      </c>
      <c r="N26" s="186">
        <v>4949</v>
      </c>
      <c r="S26" s="93"/>
      <c r="X26" s="93"/>
    </row>
    <row r="27" spans="1:24" x14ac:dyDescent="0.55000000000000004">
      <c r="A27" s="99" t="s">
        <v>58</v>
      </c>
      <c r="B27" s="93"/>
      <c r="D27" s="186">
        <f>4672+4691</f>
        <v>9363</v>
      </c>
      <c r="E27" s="194"/>
      <c r="F27" s="194">
        <f>15754+1192+596</f>
        <v>17542</v>
      </c>
      <c r="G27" s="221"/>
      <c r="H27" s="194">
        <v>21785</v>
      </c>
      <c r="I27" s="221"/>
      <c r="J27" s="186">
        <v>22256</v>
      </c>
      <c r="K27" s="221"/>
      <c r="L27" s="186" t="s">
        <v>94</v>
      </c>
      <c r="M27" s="221"/>
      <c r="N27" s="186">
        <v>22256</v>
      </c>
      <c r="S27" s="93"/>
      <c r="X27" s="93"/>
    </row>
    <row r="28" spans="1:24" ht="14.7" thickBot="1" x14ac:dyDescent="0.6">
      <c r="A28" s="102" t="s">
        <v>59</v>
      </c>
      <c r="B28" s="104"/>
      <c r="C28" s="102"/>
      <c r="D28" s="230">
        <f>SUM(D25:D27)</f>
        <v>164138</v>
      </c>
      <c r="E28" s="180"/>
      <c r="F28" s="231">
        <f>SUM(F25:F27)</f>
        <v>126583</v>
      </c>
      <c r="G28" s="181"/>
      <c r="H28" s="231">
        <f>SUM(H25:H27)</f>
        <v>124437.68782000001</v>
      </c>
      <c r="I28" s="181"/>
      <c r="J28" s="246">
        <f>SUM(J25:J27)</f>
        <v>129361.260099472</v>
      </c>
      <c r="K28" s="181"/>
      <c r="L28" s="231">
        <f>SUM(L25:L27)</f>
        <v>107137.61</v>
      </c>
      <c r="M28" s="181"/>
      <c r="N28" s="231">
        <f>SUM(N25:N27)</f>
        <v>129361.260099472</v>
      </c>
      <c r="O28" s="102"/>
      <c r="P28" s="102"/>
      <c r="Q28" s="102"/>
      <c r="R28" s="102"/>
      <c r="S28" s="138">
        <f>(J28-D28)/D28</f>
        <v>-0.21187500700951639</v>
      </c>
      <c r="T28" s="102"/>
      <c r="U28" s="102"/>
      <c r="V28" s="102"/>
      <c r="W28" s="102"/>
      <c r="X28" s="138">
        <f>(J28-F28)/F28</f>
        <v>2.1948129681489598E-2</v>
      </c>
    </row>
    <row r="29" spans="1:24" x14ac:dyDescent="0.55000000000000004">
      <c r="A29" s="105" t="s">
        <v>60</v>
      </c>
      <c r="B29" s="116"/>
      <c r="C29" s="105"/>
      <c r="D29" s="182"/>
      <c r="E29" s="183"/>
      <c r="F29" s="184"/>
      <c r="G29" s="185"/>
      <c r="H29" s="182"/>
      <c r="I29" s="183"/>
      <c r="J29" s="184"/>
      <c r="K29" s="183"/>
      <c r="L29" s="184"/>
      <c r="M29" s="183"/>
      <c r="N29" s="184"/>
      <c r="O29" s="105"/>
      <c r="P29" s="105"/>
      <c r="Q29" s="105"/>
      <c r="R29" s="105"/>
      <c r="S29" s="110"/>
      <c r="T29" s="105"/>
      <c r="U29" s="105"/>
      <c r="V29" s="105"/>
      <c r="W29" s="105"/>
      <c r="X29" s="110"/>
    </row>
    <row r="30" spans="1:24" x14ac:dyDescent="0.55000000000000004">
      <c r="A30" s="99" t="s">
        <v>17</v>
      </c>
      <c r="B30" s="93" t="s">
        <v>29</v>
      </c>
      <c r="C30" s="50">
        <v>3639221.4776649466</v>
      </c>
      <c r="D30" s="186">
        <v>32818</v>
      </c>
      <c r="E30" s="194">
        <v>3142800</v>
      </c>
      <c r="F30" s="194">
        <v>32698</v>
      </c>
      <c r="G30" s="221">
        <v>3074453</v>
      </c>
      <c r="H30" s="186">
        <v>27402</v>
      </c>
      <c r="I30" s="194">
        <v>3142757</v>
      </c>
      <c r="J30" s="186">
        <v>28011</v>
      </c>
      <c r="K30" s="194">
        <f>'Gov Ops'!O47</f>
        <v>3161580.25</v>
      </c>
      <c r="L30" s="186">
        <v>29227.477999999999</v>
      </c>
      <c r="M30" s="194">
        <v>3142757</v>
      </c>
      <c r="N30" s="186">
        <v>28011</v>
      </c>
      <c r="S30" s="93"/>
      <c r="X30" s="93"/>
    </row>
    <row r="31" spans="1:24" x14ac:dyDescent="0.55000000000000004">
      <c r="A31" s="99" t="s">
        <v>18</v>
      </c>
      <c r="B31" s="93" t="s">
        <v>29</v>
      </c>
      <c r="D31" s="186"/>
      <c r="E31" s="194"/>
      <c r="F31" s="194">
        <v>558</v>
      </c>
      <c r="G31" s="221">
        <v>44333</v>
      </c>
      <c r="H31" s="186">
        <v>453</v>
      </c>
      <c r="I31" s="194">
        <v>45318</v>
      </c>
      <c r="J31" s="186">
        <v>463</v>
      </c>
      <c r="K31" s="194">
        <v>59652.46</v>
      </c>
      <c r="L31" s="186">
        <v>596.47914990000004</v>
      </c>
      <c r="M31" s="194">
        <v>45318</v>
      </c>
      <c r="N31" s="186">
        <v>463</v>
      </c>
      <c r="S31" s="93"/>
      <c r="X31" s="93"/>
    </row>
    <row r="32" spans="1:24" ht="14.7" thickBot="1" x14ac:dyDescent="0.6">
      <c r="A32" s="106" t="s">
        <v>61</v>
      </c>
      <c r="B32" s="111"/>
      <c r="C32" s="119">
        <f>SUM(C30:C31)</f>
        <v>3639221.4776649466</v>
      </c>
      <c r="D32" s="232">
        <f t="shared" ref="D32" si="5">SUM(D30:D31)</f>
        <v>32818</v>
      </c>
      <c r="E32" s="233"/>
      <c r="F32" s="233">
        <f>F30+F31</f>
        <v>33256</v>
      </c>
      <c r="G32" s="234"/>
      <c r="H32" s="232">
        <f>H30+H31</f>
        <v>27855</v>
      </c>
      <c r="I32" s="233"/>
      <c r="J32" s="232">
        <f>J31+J30</f>
        <v>28474</v>
      </c>
      <c r="K32" s="233"/>
      <c r="L32" s="232">
        <f>L31+L30</f>
        <v>29823.957149899998</v>
      </c>
      <c r="M32" s="233"/>
      <c r="N32" s="232">
        <f>N31+N30</f>
        <v>28474</v>
      </c>
      <c r="O32" s="107"/>
      <c r="P32" s="107"/>
      <c r="Q32" s="107"/>
      <c r="R32" s="107"/>
      <c r="S32" s="139">
        <f>(J32-D32)/D32</f>
        <v>-0.13236638430129807</v>
      </c>
      <c r="T32" s="107"/>
      <c r="U32" s="107"/>
      <c r="V32" s="107"/>
      <c r="W32" s="107"/>
      <c r="X32" s="139">
        <f>(J32-F32)/F32</f>
        <v>-0.14379360115467885</v>
      </c>
    </row>
    <row r="33" spans="1:24" ht="14.7" thickBot="1" x14ac:dyDescent="0.6">
      <c r="A33" s="8" t="s">
        <v>26</v>
      </c>
      <c r="B33" s="84"/>
      <c r="C33" s="73"/>
      <c r="D33" s="120">
        <f>D32+D28+D22+D15+D11+D8+D23</f>
        <v>685582</v>
      </c>
      <c r="E33" s="118"/>
      <c r="F33" s="120">
        <f>F32+F28+F22+F15+F11+F8+F23</f>
        <v>551930.65364999999</v>
      </c>
      <c r="G33" s="73"/>
      <c r="H33" s="120">
        <f>H32+H28+H22+H15+H11+H8+H23</f>
        <v>493023.24763999996</v>
      </c>
      <c r="I33" s="73"/>
      <c r="J33" s="120">
        <f>J32+J28+J22+J15+J11+J8+J23</f>
        <v>540891.65971406945</v>
      </c>
      <c r="K33" s="247"/>
      <c r="L33" s="120">
        <f>L32+L28+L22+L15+L11+L8+L23</f>
        <v>486513.31226819998</v>
      </c>
      <c r="M33" s="73"/>
      <c r="N33" s="120">
        <f>N32+N28+N22+N15+N11+N8+N23</f>
        <v>540891.65971406945</v>
      </c>
      <c r="O33" s="73"/>
      <c r="P33" s="73"/>
      <c r="Q33" s="73"/>
      <c r="R33" s="73"/>
      <c r="S33" s="73"/>
      <c r="T33" s="73"/>
      <c r="U33" s="73"/>
      <c r="V33" s="73"/>
      <c r="W33" s="73"/>
      <c r="X33" s="73"/>
    </row>
    <row r="34" spans="1:24" ht="14.7" thickBot="1" x14ac:dyDescent="0.6">
      <c r="A34" s="64" t="s">
        <v>41</v>
      </c>
      <c r="B34" s="59"/>
      <c r="C34" s="115"/>
      <c r="D34" s="121">
        <f>(D33-$D$33)/$D$33</f>
        <v>0</v>
      </c>
      <c r="E34" s="115"/>
      <c r="F34" s="121">
        <f>(F33-$D$33)/$D$33</f>
        <v>-0.19494582172519115</v>
      </c>
      <c r="G34" s="115"/>
      <c r="H34" s="121">
        <f>(H33-$D$33)/$D$33</f>
        <v>-0.28086903150899534</v>
      </c>
      <c r="I34" s="115"/>
      <c r="J34" s="121">
        <f>(J33-$D$33)/$D$33</f>
        <v>-0.21104746082296583</v>
      </c>
      <c r="K34" s="115"/>
      <c r="L34" s="121">
        <f>(L33-$D$33)/$D$33</f>
        <v>-0.29036451909735089</v>
      </c>
      <c r="M34" s="115"/>
      <c r="N34" s="121">
        <f>(N33-$D$33)/$D$33</f>
        <v>-0.21104746082296583</v>
      </c>
      <c r="O34" s="115"/>
      <c r="P34" s="115"/>
      <c r="Q34" s="115"/>
      <c r="R34" s="115"/>
      <c r="S34" s="115"/>
      <c r="T34" s="115"/>
      <c r="U34" s="115"/>
      <c r="V34" s="115"/>
      <c r="W34" s="115"/>
      <c r="X34" s="157">
        <f>(J34-F34)/F34</f>
        <v>8.2595456292839348E-2</v>
      </c>
    </row>
    <row r="35" spans="1:24" ht="14.7" thickBot="1" x14ac:dyDescent="0.6">
      <c r="A35" s="64" t="s">
        <v>69</v>
      </c>
      <c r="B35" s="59"/>
      <c r="C35" s="115"/>
      <c r="D35" s="141">
        <f>(D32-D32)/D32</f>
        <v>0</v>
      </c>
      <c r="E35" s="115"/>
      <c r="F35" s="121" t="e">
        <f>(F33-#REF!)/#REF!</f>
        <v>#REF!</v>
      </c>
      <c r="G35" s="115"/>
      <c r="H35" s="121">
        <f>(H33-F33)/F33</f>
        <v>-0.10672972341803548</v>
      </c>
      <c r="I35" s="115"/>
      <c r="J35" s="121">
        <f>(J33-H33)/H33</f>
        <v>9.7091592137299107E-2</v>
      </c>
      <c r="K35" s="115"/>
      <c r="L35" s="121">
        <f>(L33-H33)/H33</f>
        <v>-1.3204114416433073E-2</v>
      </c>
      <c r="M35" s="115"/>
      <c r="N35" s="121">
        <f>(N33-J33)/J33</f>
        <v>0</v>
      </c>
      <c r="O35" s="58">
        <f>J33/'Citywide by Sector'!N41</f>
        <v>6.7876960480576204E-2</v>
      </c>
    </row>
    <row r="36" spans="1:24" x14ac:dyDescent="0.55000000000000004">
      <c r="I36" s="58"/>
      <c r="J36" s="58">
        <f>(J33-F33)/F33</f>
        <v>-2.0000690055767014E-2</v>
      </c>
      <c r="K36" s="58"/>
      <c r="L36" s="58">
        <f>(L33-F33)/F33</f>
        <v>-0.11852456635482256</v>
      </c>
      <c r="M36" s="58"/>
      <c r="N36" s="58">
        <f>(N33-H33)/H33</f>
        <v>9.7091592137299107E-2</v>
      </c>
    </row>
    <row r="37" spans="1:24" x14ac:dyDescent="0.55000000000000004">
      <c r="A37" s="7" t="s">
        <v>44</v>
      </c>
      <c r="B37" s="58">
        <f>((J33-D33)/D33)/(2013-2006)</f>
        <v>-3.014963726042369E-2</v>
      </c>
      <c r="D37" s="7" t="s">
        <v>73</v>
      </c>
      <c r="F37" s="140"/>
      <c r="J37" s="126">
        <f>85000/J33</f>
        <v>0.15714792135070707</v>
      </c>
      <c r="L37" s="239">
        <f>85000/L33</f>
        <v>0.17471258824083746</v>
      </c>
      <c r="N37" s="239">
        <f>85000/N33</f>
        <v>0.15714792135070707</v>
      </c>
    </row>
    <row r="38" spans="1:24" x14ac:dyDescent="0.55000000000000004">
      <c r="A38" s="7" t="s">
        <v>45</v>
      </c>
      <c r="B38" s="58">
        <f>J34+B37+B37</f>
        <v>-0.27134673534381321</v>
      </c>
      <c r="D38" s="117">
        <v>1139.07</v>
      </c>
      <c r="I38" s="99"/>
      <c r="J38" s="126">
        <f>85000/J8</f>
        <v>0.28001971633678269</v>
      </c>
      <c r="K38" s="99"/>
      <c r="L38" s="239">
        <f>85000/L8</f>
        <v>0.31218207927955721</v>
      </c>
      <c r="M38" s="99"/>
      <c r="N38" s="239">
        <f>85000/N8</f>
        <v>0.28001971633678269</v>
      </c>
      <c r="O38" s="122"/>
    </row>
    <row r="39" spans="1:24" x14ac:dyDescent="0.55000000000000004">
      <c r="A39" s="7" t="s">
        <v>46</v>
      </c>
      <c r="B39" s="7">
        <f>D33*0.8</f>
        <v>548465.6</v>
      </c>
      <c r="D39" s="7">
        <f>((($I$25+$I$10+$I$5)*0.001)*D38)/2204.62</f>
        <v>453923.18044458871</v>
      </c>
      <c r="I39" s="99"/>
      <c r="J39" s="122"/>
      <c r="K39" s="99"/>
      <c r="L39" s="122"/>
      <c r="M39" s="99"/>
      <c r="N39" s="122"/>
      <c r="O39" s="122"/>
      <c r="P39" s="126">
        <f>100000/J33</f>
        <v>0.18487990747142008</v>
      </c>
    </row>
    <row r="40" spans="1:24" x14ac:dyDescent="0.55000000000000004">
      <c r="A40" s="7" t="s">
        <v>47</v>
      </c>
      <c r="B40" s="7">
        <f>(J33*(1+(B37*2)))</f>
        <v>508276.28503893403</v>
      </c>
      <c r="D40" s="151" t="e">
        <f>#REF!+#REF!+#REF!</f>
        <v>#REF!</v>
      </c>
      <c r="I40" s="99"/>
      <c r="J40" s="122"/>
      <c r="K40" s="99"/>
      <c r="L40" s="122"/>
      <c r="M40" s="99"/>
      <c r="N40" s="122"/>
      <c r="O40" s="122"/>
    </row>
    <row r="41" spans="1:24" x14ac:dyDescent="0.55000000000000004">
      <c r="D41" s="152"/>
      <c r="I41" s="99"/>
      <c r="J41" s="122"/>
      <c r="K41" s="99"/>
      <c r="L41" s="122"/>
      <c r="M41" s="99"/>
      <c r="N41" s="122"/>
      <c r="O41" s="122"/>
    </row>
    <row r="42" spans="1:24" x14ac:dyDescent="0.55000000000000004">
      <c r="I42" s="99"/>
      <c r="J42" s="122"/>
      <c r="K42" s="99"/>
      <c r="L42" s="122"/>
      <c r="M42" s="99"/>
      <c r="N42" s="122"/>
      <c r="O42" s="122"/>
    </row>
    <row r="43" spans="1:24" x14ac:dyDescent="0.55000000000000004">
      <c r="A43" s="7" t="s">
        <v>81</v>
      </c>
      <c r="D43" s="156">
        <f>D4+D6+D22+D26</f>
        <v>177417</v>
      </c>
      <c r="J43" s="140">
        <f>J4+J6+J22+J26+J27+J23</f>
        <v>148452.20548</v>
      </c>
      <c r="L43" s="140" t="e">
        <f>L4+L6+L22+L26+L27+L23</f>
        <v>#VALUE!</v>
      </c>
      <c r="N43" s="140">
        <f>N4+N6+N22+N26+N27+N23</f>
        <v>148452.20548</v>
      </c>
    </row>
    <row r="44" spans="1:24" x14ac:dyDescent="0.55000000000000004">
      <c r="A44" s="7" t="s">
        <v>82</v>
      </c>
      <c r="D44" s="127">
        <f>D5+D10+D25</f>
        <v>457776</v>
      </c>
      <c r="J44" s="156">
        <f>J5+J10+J25</f>
        <v>354396.45423406939</v>
      </c>
      <c r="L44" s="156">
        <f>L5+L10+L25</f>
        <v>324817.25</v>
      </c>
      <c r="N44" s="156">
        <f>N5+N10+N25</f>
        <v>354396.45423406939</v>
      </c>
      <c r="O44" s="140">
        <f>J44+J43</f>
        <v>502848.65971406939</v>
      </c>
    </row>
    <row r="45" spans="1:24" x14ac:dyDescent="0.55000000000000004">
      <c r="A45" s="7" t="s">
        <v>83</v>
      </c>
      <c r="D45" s="156">
        <f>D32+D15+D27</f>
        <v>42941</v>
      </c>
      <c r="J45">
        <f>J32+J15+J27</f>
        <v>54261</v>
      </c>
      <c r="L45" t="e">
        <f>L32+L15+L27</f>
        <v>#VALUE!</v>
      </c>
      <c r="N45">
        <f>N32+N15+N27</f>
        <v>54261</v>
      </c>
    </row>
    <row r="49" spans="1:15" x14ac:dyDescent="0.55000000000000004">
      <c r="A49" t="s">
        <v>89</v>
      </c>
      <c r="D49" s="7" t="e">
        <f>C18+C19+#REF!+#REF!</f>
        <v>#REF!</v>
      </c>
      <c r="E49" s="7"/>
      <c r="F49" s="7" t="e">
        <f>E18+E19+#REF!+#REF!</f>
        <v>#REF!</v>
      </c>
      <c r="G49" s="7"/>
      <c r="H49" s="7" t="e">
        <f>G18+G19+#REF!+#REF!</f>
        <v>#REF!</v>
      </c>
      <c r="I49" s="7"/>
      <c r="J49" s="7" t="e">
        <f>I18+I19+#REF!+#REF!</f>
        <v>#REF!</v>
      </c>
      <c r="K49" s="7"/>
      <c r="L49" s="7" t="e">
        <f>K18+K19+#REF!+#REF!</f>
        <v>#REF!</v>
      </c>
      <c r="M49" s="7"/>
      <c r="N49" s="7" t="e">
        <f>M18+M19+#REF!+#REF!</f>
        <v>#REF!</v>
      </c>
      <c r="O49" s="126" t="e">
        <f>(J49-D49)/D49</f>
        <v>#REF!</v>
      </c>
    </row>
    <row r="50" spans="1:15" x14ac:dyDescent="0.55000000000000004">
      <c r="A50" t="s">
        <v>88</v>
      </c>
      <c r="D50" s="7" t="e">
        <f>D18+#REF!+D19+#REF!</f>
        <v>#REF!</v>
      </c>
      <c r="E50" s="7"/>
      <c r="F50" s="7" t="e">
        <f>F18+#REF!+F19+#REF!</f>
        <v>#REF!</v>
      </c>
      <c r="G50" s="7"/>
      <c r="H50" s="7" t="e">
        <f>H18+#REF!+H19+#REF!</f>
        <v>#REF!</v>
      </c>
      <c r="I50" s="7"/>
      <c r="J50" s="7" t="e">
        <f>J18+#REF!+J19+#REF!</f>
        <v>#REF!</v>
      </c>
      <c r="K50" s="7"/>
      <c r="L50" s="7" t="e">
        <f>L18+#REF!+L19+#REF!</f>
        <v>#REF!</v>
      </c>
      <c r="M50" s="7"/>
      <c r="N50" s="7" t="e">
        <f>N18+#REF!+N19+#REF!</f>
        <v>#REF!</v>
      </c>
      <c r="O50" s="126" t="e">
        <f>(J50-D50)/D50</f>
        <v>#REF!</v>
      </c>
    </row>
  </sheetData>
  <mergeCells count="8">
    <mergeCell ref="O1:S1"/>
    <mergeCell ref="T1:X1"/>
    <mergeCell ref="C1:D1"/>
    <mergeCell ref="E1:F1"/>
    <mergeCell ref="G1:H1"/>
    <mergeCell ref="I1:J1"/>
    <mergeCell ref="M1:N1"/>
    <mergeCell ref="K1:L1"/>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tabColor theme="4"/>
  </sheetPr>
  <dimension ref="A1:I40"/>
  <sheetViews>
    <sheetView zoomScale="90" zoomScaleNormal="90" workbookViewId="0">
      <selection activeCell="E14" sqref="E14"/>
    </sheetView>
  </sheetViews>
  <sheetFormatPr defaultRowHeight="14.4" x14ac:dyDescent="0.55000000000000004"/>
  <cols>
    <col min="1" max="1" width="25.41796875" style="241" customWidth="1"/>
    <col min="2" max="2" width="14.15625" style="241" customWidth="1"/>
    <col min="3" max="3" width="19.41796875" style="241" customWidth="1"/>
    <col min="4" max="4" width="28.15625" customWidth="1"/>
    <col min="5" max="5" width="161.68359375" style="144" customWidth="1"/>
  </cols>
  <sheetData>
    <row r="1" spans="1:9" ht="19.5" thickBot="1" x14ac:dyDescent="0.75">
      <c r="A1" s="261" t="s">
        <v>120</v>
      </c>
      <c r="B1" s="261"/>
      <c r="C1" s="261"/>
      <c r="D1" s="262"/>
      <c r="E1" s="267"/>
      <c r="F1" s="262"/>
      <c r="G1" s="262"/>
      <c r="H1" s="262"/>
      <c r="I1" s="262"/>
    </row>
    <row r="2" spans="1:9" ht="14.7" thickTop="1" x14ac:dyDescent="0.55000000000000004">
      <c r="A2" s="263" t="s">
        <v>0</v>
      </c>
      <c r="B2" s="242" t="s">
        <v>1</v>
      </c>
      <c r="C2" s="244" t="s">
        <v>114</v>
      </c>
      <c r="D2" t="s">
        <v>103</v>
      </c>
      <c r="E2" s="144" t="s">
        <v>104</v>
      </c>
    </row>
    <row r="3" spans="1:9" x14ac:dyDescent="0.55000000000000004">
      <c r="A3" s="512" t="s">
        <v>49</v>
      </c>
      <c r="B3" s="513"/>
      <c r="C3" s="324"/>
      <c r="D3" s="324"/>
      <c r="E3" s="336"/>
    </row>
    <row r="4" spans="1:9" ht="28.8" x14ac:dyDescent="0.55000000000000004">
      <c r="A4" s="250" t="s">
        <v>11</v>
      </c>
      <c r="B4" s="251" t="s">
        <v>27</v>
      </c>
      <c r="C4" s="509" t="s">
        <v>117</v>
      </c>
      <c r="D4" s="510" t="s">
        <v>123</v>
      </c>
      <c r="E4" s="511" t="s">
        <v>167</v>
      </c>
    </row>
    <row r="5" spans="1:9" ht="28.8" x14ac:dyDescent="0.55000000000000004">
      <c r="A5" s="250" t="s">
        <v>12</v>
      </c>
      <c r="B5" s="256" t="s">
        <v>77</v>
      </c>
      <c r="C5" s="264" t="s">
        <v>117</v>
      </c>
      <c r="D5" s="125" t="s">
        <v>123</v>
      </c>
      <c r="E5" s="511" t="s">
        <v>168</v>
      </c>
    </row>
    <row r="6" spans="1:9" x14ac:dyDescent="0.55000000000000004">
      <c r="A6" s="250" t="s">
        <v>13</v>
      </c>
      <c r="B6" s="251" t="s">
        <v>29</v>
      </c>
      <c r="C6" s="264" t="s">
        <v>116</v>
      </c>
      <c r="D6" s="125" t="s">
        <v>123</v>
      </c>
      <c r="E6" s="268"/>
    </row>
    <row r="7" spans="1:9" ht="28.8" x14ac:dyDescent="0.55000000000000004">
      <c r="A7" s="253" t="s">
        <v>50</v>
      </c>
      <c r="B7" s="254" t="s">
        <v>125</v>
      </c>
      <c r="C7" s="514" t="s">
        <v>117</v>
      </c>
      <c r="D7" s="515" t="s">
        <v>124</v>
      </c>
      <c r="E7" s="269" t="s">
        <v>183</v>
      </c>
    </row>
    <row r="8" spans="1:9" x14ac:dyDescent="0.55000000000000004">
      <c r="A8" s="517" t="s">
        <v>52</v>
      </c>
      <c r="B8" s="518"/>
      <c r="C8" s="518"/>
      <c r="D8" s="518"/>
      <c r="E8" s="518"/>
    </row>
    <row r="9" spans="1:9" ht="28.8" x14ac:dyDescent="0.55000000000000004">
      <c r="A9" s="250" t="s">
        <v>12</v>
      </c>
      <c r="B9" s="256" t="s">
        <v>77</v>
      </c>
      <c r="C9" s="516" t="s">
        <v>115</v>
      </c>
      <c r="D9" s="510" t="s">
        <v>126</v>
      </c>
      <c r="E9" s="270" t="s">
        <v>161</v>
      </c>
    </row>
    <row r="10" spans="1:9" x14ac:dyDescent="0.55000000000000004">
      <c r="A10" s="503" t="s">
        <v>97</v>
      </c>
      <c r="B10" s="504"/>
      <c r="C10" s="504"/>
      <c r="D10" s="504"/>
      <c r="E10" s="504"/>
    </row>
    <row r="11" spans="1:9" ht="28.8" x14ac:dyDescent="0.55000000000000004">
      <c r="A11" s="275" t="s">
        <v>12</v>
      </c>
      <c r="B11" s="256" t="s">
        <v>77</v>
      </c>
      <c r="C11" s="240" t="s">
        <v>115</v>
      </c>
      <c r="D11" s="515" t="s">
        <v>113</v>
      </c>
      <c r="E11" s="269" t="s">
        <v>162</v>
      </c>
    </row>
    <row r="12" spans="1:9" x14ac:dyDescent="0.55000000000000004">
      <c r="A12" s="520" t="s">
        <v>39</v>
      </c>
      <c r="B12" s="521"/>
      <c r="C12" s="521"/>
      <c r="D12" s="521"/>
      <c r="E12" s="521"/>
    </row>
    <row r="13" spans="1:9" ht="43.2" x14ac:dyDescent="0.55000000000000004">
      <c r="A13" s="255" t="s">
        <v>22</v>
      </c>
      <c r="B13" s="251" t="s">
        <v>24</v>
      </c>
      <c r="C13" s="519" t="s">
        <v>117</v>
      </c>
      <c r="D13" s="510" t="s">
        <v>112</v>
      </c>
      <c r="E13" s="270" t="s">
        <v>136</v>
      </c>
    </row>
    <row r="14" spans="1:9" ht="28.8" x14ac:dyDescent="0.55000000000000004">
      <c r="A14" s="255" t="s">
        <v>23</v>
      </c>
      <c r="B14" s="251" t="s">
        <v>24</v>
      </c>
      <c r="C14" s="514" t="s">
        <v>117</v>
      </c>
      <c r="D14" s="515" t="s">
        <v>112</v>
      </c>
      <c r="E14" s="363" t="s">
        <v>178</v>
      </c>
    </row>
    <row r="15" spans="1:9" x14ac:dyDescent="0.55000000000000004">
      <c r="A15" s="523" t="s">
        <v>55</v>
      </c>
      <c r="B15" s="524"/>
      <c r="C15" s="524"/>
      <c r="D15" s="524"/>
      <c r="E15" s="524"/>
    </row>
    <row r="16" spans="1:9" x14ac:dyDescent="0.55000000000000004">
      <c r="A16" s="533" t="s">
        <v>19</v>
      </c>
      <c r="B16" s="534" t="s">
        <v>30</v>
      </c>
      <c r="C16" s="537"/>
      <c r="D16" s="536"/>
      <c r="E16" s="536"/>
    </row>
    <row r="17" spans="1:5" x14ac:dyDescent="0.55000000000000004">
      <c r="A17" s="508" t="s">
        <v>62</v>
      </c>
      <c r="B17" s="535" t="s">
        <v>87</v>
      </c>
      <c r="C17" s="770" t="s">
        <v>115</v>
      </c>
      <c r="D17" s="777" t="s">
        <v>112</v>
      </c>
      <c r="E17" s="779" t="s">
        <v>127</v>
      </c>
    </row>
    <row r="18" spans="1:5" x14ac:dyDescent="0.55000000000000004">
      <c r="A18" s="508" t="s">
        <v>18</v>
      </c>
      <c r="B18" s="535" t="s">
        <v>29</v>
      </c>
      <c r="C18" s="770"/>
      <c r="D18" s="777"/>
      <c r="E18" s="779"/>
    </row>
    <row r="19" spans="1:5" x14ac:dyDescent="0.55000000000000004">
      <c r="A19" s="508" t="s">
        <v>63</v>
      </c>
      <c r="B19" s="535" t="s">
        <v>29</v>
      </c>
      <c r="C19" s="770"/>
      <c r="D19" s="777"/>
      <c r="E19" s="779"/>
    </row>
    <row r="20" spans="1:5" x14ac:dyDescent="0.55000000000000004">
      <c r="A20" s="508" t="s">
        <v>64</v>
      </c>
      <c r="B20" s="535" t="s">
        <v>29</v>
      </c>
      <c r="C20" s="770"/>
      <c r="D20" s="777"/>
      <c r="E20" s="779"/>
    </row>
    <row r="21" spans="1:5" x14ac:dyDescent="0.55000000000000004">
      <c r="A21" s="508" t="s">
        <v>17</v>
      </c>
      <c r="B21" s="535" t="s">
        <v>29</v>
      </c>
      <c r="C21" s="770"/>
      <c r="D21" s="777"/>
      <c r="E21" s="779"/>
    </row>
    <row r="22" spans="1:5" x14ac:dyDescent="0.55000000000000004">
      <c r="A22" s="260" t="s">
        <v>65</v>
      </c>
      <c r="B22" s="534"/>
      <c r="C22" s="538"/>
      <c r="D22" s="539"/>
      <c r="E22" s="540"/>
    </row>
    <row r="23" spans="1:5" x14ac:dyDescent="0.55000000000000004">
      <c r="A23" s="508" t="s">
        <v>18</v>
      </c>
      <c r="B23" s="535" t="s">
        <v>29</v>
      </c>
      <c r="C23" s="771" t="s">
        <v>115</v>
      </c>
      <c r="D23" s="773" t="s">
        <v>112</v>
      </c>
      <c r="E23" s="780" t="s">
        <v>127</v>
      </c>
    </row>
    <row r="24" spans="1:5" x14ac:dyDescent="0.55000000000000004">
      <c r="A24" s="508" t="s">
        <v>17</v>
      </c>
      <c r="B24" s="535" t="s">
        <v>29</v>
      </c>
      <c r="C24" s="770"/>
      <c r="D24" s="774"/>
      <c r="E24" s="779"/>
    </row>
    <row r="25" spans="1:5" x14ac:dyDescent="0.55000000000000004">
      <c r="A25" s="508" t="s">
        <v>62</v>
      </c>
      <c r="B25" s="535" t="s">
        <v>87</v>
      </c>
      <c r="C25" s="770"/>
      <c r="D25" s="774"/>
      <c r="E25" s="779"/>
    </row>
    <row r="26" spans="1:5" x14ac:dyDescent="0.55000000000000004">
      <c r="A26" s="508" t="s">
        <v>64</v>
      </c>
      <c r="B26" s="535" t="s">
        <v>29</v>
      </c>
      <c r="C26" s="770"/>
      <c r="D26" s="774"/>
      <c r="E26" s="779"/>
    </row>
    <row r="27" spans="1:5" x14ac:dyDescent="0.55000000000000004">
      <c r="A27" s="508" t="s">
        <v>63</v>
      </c>
      <c r="B27" s="535" t="s">
        <v>29</v>
      </c>
      <c r="C27" s="772"/>
      <c r="D27" s="778"/>
      <c r="E27" s="781"/>
    </row>
    <row r="28" spans="1:5" x14ac:dyDescent="0.55000000000000004">
      <c r="A28" s="523" t="s">
        <v>132</v>
      </c>
      <c r="B28" s="525"/>
      <c r="C28" s="339"/>
      <c r="D28" s="526"/>
      <c r="E28" s="527"/>
    </row>
    <row r="29" spans="1:5" ht="43.2" x14ac:dyDescent="0.55000000000000004">
      <c r="A29" s="258" t="s">
        <v>18</v>
      </c>
      <c r="B29" s="251" t="s">
        <v>29</v>
      </c>
      <c r="C29" s="770"/>
      <c r="D29" s="273" t="s">
        <v>133</v>
      </c>
      <c r="E29" s="714" t="s">
        <v>169</v>
      </c>
    </row>
    <row r="30" spans="1:5" x14ac:dyDescent="0.55000000000000004">
      <c r="A30" s="258" t="s">
        <v>12</v>
      </c>
      <c r="B30" s="251" t="s">
        <v>77</v>
      </c>
      <c r="C30" s="770"/>
      <c r="D30" s="273" t="s">
        <v>134</v>
      </c>
      <c r="E30" s="271" t="s">
        <v>163</v>
      </c>
    </row>
    <row r="31" spans="1:5" x14ac:dyDescent="0.55000000000000004">
      <c r="A31" s="528" t="s">
        <v>90</v>
      </c>
      <c r="B31" s="529"/>
      <c r="C31" s="530"/>
      <c r="D31" s="531"/>
      <c r="E31" s="532"/>
    </row>
    <row r="32" spans="1:5" x14ac:dyDescent="0.55000000000000004">
      <c r="A32" s="507" t="s">
        <v>90</v>
      </c>
      <c r="B32" s="353" t="s">
        <v>128</v>
      </c>
      <c r="C32" s="516" t="s">
        <v>116</v>
      </c>
      <c r="D32" s="510" t="s">
        <v>116</v>
      </c>
      <c r="E32" s="522" t="s">
        <v>170</v>
      </c>
    </row>
    <row r="33" spans="1:9" ht="28.8" x14ac:dyDescent="0.55000000000000004">
      <c r="A33" s="473" t="s">
        <v>57</v>
      </c>
      <c r="B33" s="474"/>
      <c r="C33" s="474"/>
      <c r="D33" s="474"/>
      <c r="E33" s="505" t="s">
        <v>135</v>
      </c>
    </row>
    <row r="34" spans="1:9" x14ac:dyDescent="0.55000000000000004">
      <c r="A34" s="250" t="s">
        <v>12</v>
      </c>
      <c r="B34" s="256" t="s">
        <v>77</v>
      </c>
      <c r="C34" s="276" t="s">
        <v>115</v>
      </c>
      <c r="D34" s="773" t="s">
        <v>118</v>
      </c>
      <c r="E34" s="272" t="s">
        <v>129</v>
      </c>
    </row>
    <row r="35" spans="1:9" x14ac:dyDescent="0.55000000000000004">
      <c r="A35" s="250" t="s">
        <v>66</v>
      </c>
      <c r="B35" s="251" t="s">
        <v>27</v>
      </c>
      <c r="C35" s="276" t="s">
        <v>115</v>
      </c>
      <c r="D35" s="774"/>
      <c r="E35" s="268"/>
    </row>
    <row r="36" spans="1:9" x14ac:dyDescent="0.55000000000000004">
      <c r="A36" s="250" t="s">
        <v>13</v>
      </c>
      <c r="B36" s="251" t="s">
        <v>29</v>
      </c>
      <c r="C36" s="276" t="s">
        <v>115</v>
      </c>
      <c r="D36" s="774"/>
      <c r="E36" s="274" t="s">
        <v>130</v>
      </c>
    </row>
    <row r="37" spans="1:9" ht="28.8" x14ac:dyDescent="0.55000000000000004">
      <c r="A37" s="258" t="s">
        <v>58</v>
      </c>
      <c r="B37" s="252"/>
      <c r="C37" s="273" t="s">
        <v>117</v>
      </c>
      <c r="D37" s="774"/>
      <c r="E37" s="269" t="s">
        <v>182</v>
      </c>
    </row>
    <row r="38" spans="1:9" x14ac:dyDescent="0.55000000000000004">
      <c r="A38" s="506" t="s">
        <v>60</v>
      </c>
      <c r="B38" s="506"/>
      <c r="C38" s="506"/>
      <c r="D38" s="506"/>
      <c r="E38" s="506"/>
    </row>
    <row r="39" spans="1:9" s="241" customFormat="1" x14ac:dyDescent="0.55000000000000004">
      <c r="A39" s="265" t="s">
        <v>17</v>
      </c>
      <c r="B39" s="266" t="s">
        <v>29</v>
      </c>
      <c r="C39" s="264" t="s">
        <v>116</v>
      </c>
      <c r="D39" s="125" t="s">
        <v>131</v>
      </c>
      <c r="E39" s="775" t="s">
        <v>171</v>
      </c>
      <c r="F39"/>
      <c r="G39"/>
      <c r="H39"/>
      <c r="I39"/>
    </row>
    <row r="40" spans="1:9" s="241" customFormat="1" x14ac:dyDescent="0.55000000000000004">
      <c r="A40" s="265" t="s">
        <v>18</v>
      </c>
      <c r="B40" s="266" t="s">
        <v>29</v>
      </c>
      <c r="C40" s="264" t="s">
        <v>116</v>
      </c>
      <c r="D40" s="125" t="s">
        <v>131</v>
      </c>
      <c r="E40" s="776"/>
      <c r="F40"/>
      <c r="G40"/>
      <c r="H40"/>
      <c r="I40"/>
    </row>
  </sheetData>
  <mergeCells count="9">
    <mergeCell ref="C17:C21"/>
    <mergeCell ref="C23:C27"/>
    <mergeCell ref="C29:C30"/>
    <mergeCell ref="D34:D37"/>
    <mergeCell ref="E39:E40"/>
    <mergeCell ref="D17:D21"/>
    <mergeCell ref="D23:D27"/>
    <mergeCell ref="E17:E21"/>
    <mergeCell ref="E23:E2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6">
    <tabColor theme="7"/>
  </sheetPr>
  <dimension ref="A1"/>
  <sheetViews>
    <sheetView workbookViewId="0">
      <selection activeCell="K46" sqref="K46"/>
    </sheetView>
  </sheetViews>
  <sheetFormatPr defaultRowHeight="14.4" x14ac:dyDescent="0.55000000000000004"/>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3"/>
  <dimension ref="A1:I5"/>
  <sheetViews>
    <sheetView workbookViewId="0"/>
  </sheetViews>
  <sheetFormatPr defaultRowHeight="14.4" x14ac:dyDescent="0.55000000000000004"/>
  <cols>
    <col min="2" max="2" width="14.15625" customWidth="1"/>
  </cols>
  <sheetData>
    <row r="1" spans="1:9" x14ac:dyDescent="0.55000000000000004">
      <c r="B1" t="s">
        <v>75</v>
      </c>
      <c r="C1" t="s">
        <v>76</v>
      </c>
    </row>
    <row r="2" spans="1:9" x14ac:dyDescent="0.55000000000000004">
      <c r="A2">
        <v>2006</v>
      </c>
      <c r="B2" s="127">
        <f>'Citywide by Sector'!D41</f>
        <v>10486684.268300001</v>
      </c>
      <c r="D2" s="127"/>
      <c r="I2" s="127" t="e">
        <f>B2-C3</f>
        <v>#REF!</v>
      </c>
    </row>
    <row r="3" spans="1:9" ht="57.6" x14ac:dyDescent="0.55000000000000004">
      <c r="A3" s="144" t="s">
        <v>80</v>
      </c>
      <c r="B3" s="127" t="e">
        <f>B2-C3</f>
        <v>#REF!</v>
      </c>
      <c r="C3" s="127" t="e">
        <f>'Citywide by Sector'!#REF!</f>
        <v>#REF!</v>
      </c>
      <c r="I3" s="127" t="e">
        <f>I2-B2</f>
        <v>#REF!</v>
      </c>
    </row>
    <row r="4" spans="1:9" x14ac:dyDescent="0.55000000000000004">
      <c r="A4" t="s">
        <v>79</v>
      </c>
      <c r="B4" s="127" t="e">
        <f>B2-C3-C4</f>
        <v>#REF!</v>
      </c>
      <c r="C4" s="127" t="e">
        <f>(B2-B5)-C3</f>
        <v>#REF!</v>
      </c>
      <c r="I4" s="127"/>
    </row>
    <row r="5" spans="1:9" x14ac:dyDescent="0.55000000000000004">
      <c r="A5">
        <v>2013</v>
      </c>
      <c r="B5" s="7">
        <f>'Citywide by Sector'!N41</f>
        <v>7968707.7306422992</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2"/>
  <dimension ref="A1:X44"/>
  <sheetViews>
    <sheetView workbookViewId="0"/>
  </sheetViews>
  <sheetFormatPr defaultColWidth="9.15625" defaultRowHeight="14.4" x14ac:dyDescent="0.55000000000000004"/>
  <cols>
    <col min="1" max="1" width="23" style="7" customWidth="1"/>
    <col min="2" max="2" width="12.578125" style="7" customWidth="1"/>
    <col min="3" max="3" width="14.68359375" style="7" customWidth="1"/>
    <col min="4" max="4" width="14.83984375" style="7" customWidth="1"/>
    <col min="5" max="5" width="16.15625" style="7" customWidth="1"/>
    <col min="6" max="6" width="11.68359375" style="7" customWidth="1"/>
    <col min="7" max="7" width="14.68359375" style="7" customWidth="1"/>
    <col min="8" max="8" width="12.15625" style="7" customWidth="1"/>
    <col min="9" max="9" width="16" style="7" customWidth="1"/>
    <col min="10" max="10" width="11.15625" style="7" customWidth="1"/>
    <col min="11" max="11" width="15.578125" style="7" customWidth="1"/>
    <col min="12" max="12" width="11.68359375" style="7" customWidth="1"/>
    <col min="13" max="13" width="16" style="7" customWidth="1"/>
    <col min="14" max="14" width="14.41796875" style="7" bestFit="1" customWidth="1"/>
    <col min="15" max="15" width="13.68359375" style="7" bestFit="1" customWidth="1"/>
    <col min="16" max="16" width="11.41796875" style="7" bestFit="1" customWidth="1"/>
    <col min="17" max="18" width="9.15625" style="7" bestFit="1" customWidth="1"/>
    <col min="19" max="19" width="11.41796875" style="7" bestFit="1" customWidth="1"/>
    <col min="20" max="24" width="9.15625" style="7" bestFit="1" customWidth="1"/>
    <col min="25" max="16384" width="9.15625" style="7"/>
  </cols>
  <sheetData>
    <row r="1" spans="1:24" x14ac:dyDescent="0.55000000000000004">
      <c r="A1" s="5"/>
      <c r="B1" s="6"/>
      <c r="C1" s="766">
        <v>2006</v>
      </c>
      <c r="D1" s="768"/>
      <c r="E1" s="766">
        <v>2009</v>
      </c>
      <c r="F1" s="768"/>
      <c r="G1" s="766">
        <v>2010</v>
      </c>
      <c r="H1" s="768"/>
      <c r="I1" s="766">
        <v>2011</v>
      </c>
      <c r="J1" s="768"/>
      <c r="K1" s="767">
        <v>2012</v>
      </c>
      <c r="L1" s="768"/>
      <c r="M1" s="766">
        <v>2013</v>
      </c>
      <c r="N1" s="768"/>
      <c r="O1" s="766" t="s">
        <v>36</v>
      </c>
      <c r="P1" s="767"/>
      <c r="Q1" s="767"/>
      <c r="R1" s="767"/>
      <c r="S1" s="768"/>
      <c r="T1" s="766" t="s">
        <v>37</v>
      </c>
      <c r="U1" s="767"/>
      <c r="V1" s="767"/>
      <c r="W1" s="767"/>
      <c r="X1" s="769"/>
    </row>
    <row r="2" spans="1:24" x14ac:dyDescent="0.55000000000000004">
      <c r="A2" s="160" t="s">
        <v>7</v>
      </c>
      <c r="B2" s="160"/>
      <c r="C2" s="160" t="s">
        <v>38</v>
      </c>
      <c r="D2" s="160" t="s">
        <v>6</v>
      </c>
      <c r="E2" s="160" t="s">
        <v>38</v>
      </c>
      <c r="F2" s="160" t="s">
        <v>6</v>
      </c>
      <c r="G2" s="160" t="s">
        <v>38</v>
      </c>
      <c r="H2" s="160" t="s">
        <v>6</v>
      </c>
      <c r="I2" s="160" t="s">
        <v>38</v>
      </c>
      <c r="J2" s="160" t="s">
        <v>6</v>
      </c>
      <c r="K2" s="160" t="s">
        <v>38</v>
      </c>
      <c r="L2" s="160" t="s">
        <v>6</v>
      </c>
      <c r="M2" s="160" t="s">
        <v>38</v>
      </c>
      <c r="N2" s="160" t="s">
        <v>6</v>
      </c>
      <c r="O2" s="29"/>
      <c r="P2" s="30"/>
      <c r="Q2" s="30"/>
      <c r="R2" s="30"/>
      <c r="S2" s="31"/>
      <c r="T2" s="29"/>
      <c r="U2" s="30"/>
      <c r="V2" s="30"/>
      <c r="W2" s="30"/>
      <c r="X2" s="31"/>
    </row>
    <row r="3" spans="1:24" x14ac:dyDescent="0.55000000000000004">
      <c r="A3" s="161" t="s">
        <v>8</v>
      </c>
      <c r="B3" s="162"/>
      <c r="C3" s="162"/>
      <c r="D3" s="162"/>
      <c r="E3" s="162"/>
      <c r="F3" s="162"/>
      <c r="G3" s="162"/>
      <c r="H3" s="162"/>
      <c r="I3" s="162"/>
      <c r="J3" s="162"/>
      <c r="K3" s="162"/>
      <c r="L3" s="162"/>
      <c r="M3" s="162"/>
      <c r="N3" s="162"/>
      <c r="O3" s="17"/>
      <c r="P3" s="1"/>
      <c r="Q3" s="1"/>
      <c r="R3" s="1"/>
      <c r="S3" s="18"/>
      <c r="T3" s="17"/>
      <c r="U3" s="1"/>
      <c r="V3" s="1"/>
      <c r="W3" s="1"/>
      <c r="X3" s="18"/>
    </row>
    <row r="4" spans="1:24" x14ac:dyDescent="0.55000000000000004">
      <c r="A4" s="163" t="s">
        <v>11</v>
      </c>
      <c r="B4" s="162" t="s">
        <v>27</v>
      </c>
      <c r="C4" s="164">
        <v>91552500</v>
      </c>
      <c r="D4" s="165">
        <v>486829</v>
      </c>
      <c r="E4" s="164">
        <v>101349377</v>
      </c>
      <c r="F4" s="164">
        <v>538923</v>
      </c>
      <c r="G4" s="164">
        <v>101180616</v>
      </c>
      <c r="H4" s="164">
        <v>538026</v>
      </c>
      <c r="I4" s="164">
        <v>99866041</v>
      </c>
      <c r="J4" s="164">
        <v>531036</v>
      </c>
      <c r="K4" s="164">
        <v>83814342</v>
      </c>
      <c r="L4" s="164">
        <v>445681</v>
      </c>
      <c r="M4" s="164">
        <v>101293397</v>
      </c>
      <c r="N4" s="164">
        <v>538626</v>
      </c>
      <c r="O4" s="23">
        <f>(M4-C4)/C4</f>
        <v>0.10639684334125228</v>
      </c>
      <c r="P4" s="28" t="e">
        <f>(#REF!-#REF!)/#REF!</f>
        <v>#REF!</v>
      </c>
      <c r="Q4" s="28" t="e">
        <f>(#REF!-#REF!)/#REF!</f>
        <v>#REF!</v>
      </c>
      <c r="R4" s="28" t="e">
        <f>(#REF!-#REF!)/#REF!</f>
        <v>#REF!</v>
      </c>
      <c r="S4" s="28">
        <f>(N4-D4)/D4</f>
        <v>0.10639670192203012</v>
      </c>
      <c r="T4" s="23">
        <f>(M4-I4)/I4</f>
        <v>1.4292706366521529E-2</v>
      </c>
      <c r="U4" s="28" t="e">
        <f>(#REF!-#REF!)/#REF!</f>
        <v>#REF!</v>
      </c>
      <c r="V4" s="28" t="e">
        <f>(#REF!-#REF!)/#REF!</f>
        <v>#REF!</v>
      </c>
      <c r="W4" s="28" t="e">
        <f>(#REF!-#REF!)/#REF!</f>
        <v>#REF!</v>
      </c>
      <c r="X4" s="32">
        <f>(N4-J4)/J4</f>
        <v>1.4292816306239124E-2</v>
      </c>
    </row>
    <row r="5" spans="1:24" x14ac:dyDescent="0.55000000000000004">
      <c r="A5" s="163" t="s">
        <v>12</v>
      </c>
      <c r="B5" s="162" t="s">
        <v>85</v>
      </c>
      <c r="C5" s="164">
        <f>1836662611/1000</f>
        <v>1836662.611</v>
      </c>
      <c r="D5" s="165">
        <v>954231</v>
      </c>
      <c r="E5" s="164">
        <f>2275888699/1000</f>
        <v>2275888.699</v>
      </c>
      <c r="F5" s="164">
        <v>983342</v>
      </c>
      <c r="G5" s="164">
        <f>1891782070/1000</f>
        <v>1891782.07</v>
      </c>
      <c r="H5" s="164">
        <v>864076</v>
      </c>
      <c r="I5" s="164">
        <f>1844708642/1000</f>
        <v>1844708.642</v>
      </c>
      <c r="J5" s="164">
        <v>842575</v>
      </c>
      <c r="K5" s="164">
        <f>1799281788/1000</f>
        <v>1799281.7879999999</v>
      </c>
      <c r="L5" s="164">
        <v>821826</v>
      </c>
      <c r="M5" s="164">
        <f>1830231894/1000</f>
        <v>1830231.8940000001</v>
      </c>
      <c r="N5" s="164">
        <v>835962</v>
      </c>
      <c r="O5" s="24">
        <f>(M5-C5)/C5</f>
        <v>-3.5013055536088039E-3</v>
      </c>
      <c r="P5" s="43" t="e">
        <f>(#REF!-#REF!)/#REF!</f>
        <v>#REF!</v>
      </c>
      <c r="Q5" s="43" t="e">
        <f>(#REF!-#REF!)/#REF!</f>
        <v>#REF!</v>
      </c>
      <c r="R5" s="43" t="e">
        <f>(#REF!-#REF!)/#REF!</f>
        <v>#REF!</v>
      </c>
      <c r="S5" s="43">
        <f>(N5-D5)/D5</f>
        <v>-0.12394168707577097</v>
      </c>
      <c r="T5" s="23">
        <f>(M5-I5)/I5</f>
        <v>-7.8477151732234927E-3</v>
      </c>
      <c r="U5" s="28" t="e">
        <f>(#REF!-#REF!)/#REF!</f>
        <v>#REF!</v>
      </c>
      <c r="V5" s="28" t="e">
        <f>(#REF!-#REF!)/#REF!</f>
        <v>#REF!</v>
      </c>
      <c r="W5" s="28" t="e">
        <f>(#REF!-#REF!)/#REF!</f>
        <v>#REF!</v>
      </c>
      <c r="X5" s="32">
        <f>(N5-J5)/J5</f>
        <v>-7.8485594754176182E-3</v>
      </c>
    </row>
    <row r="6" spans="1:24" x14ac:dyDescent="0.55000000000000004">
      <c r="A6" s="163" t="s">
        <v>13</v>
      </c>
      <c r="B6" s="162" t="s">
        <v>29</v>
      </c>
      <c r="C6" s="164">
        <v>7453000</v>
      </c>
      <c r="D6" s="164">
        <v>76535</v>
      </c>
      <c r="E6" s="164">
        <f>7174*1000</f>
        <v>7174000</v>
      </c>
      <c r="F6" s="164">
        <v>73704</v>
      </c>
      <c r="G6" s="164">
        <f>8501*1000</f>
        <v>8501000</v>
      </c>
      <c r="H6" s="164">
        <v>87337</v>
      </c>
      <c r="I6" s="164">
        <f>1430*1000</f>
        <v>1430000</v>
      </c>
      <c r="J6" s="164">
        <v>14692</v>
      </c>
      <c r="K6" s="164">
        <v>6997000</v>
      </c>
      <c r="L6" s="164">
        <v>78625</v>
      </c>
      <c r="M6" s="164">
        <v>5927000</v>
      </c>
      <c r="N6" s="164">
        <v>60893</v>
      </c>
      <c r="O6" s="23">
        <f>(M6-C6)/C6</f>
        <v>-0.20474976519522339</v>
      </c>
      <c r="P6" s="28" t="e">
        <f>(#REF!-#REF!)/#REF!</f>
        <v>#REF!</v>
      </c>
      <c r="Q6" s="28" t="e">
        <f>(#REF!-#REF!)/#REF!</f>
        <v>#REF!</v>
      </c>
      <c r="R6" s="28" t="e">
        <f>(#REF!-#REF!)/#REF!</f>
        <v>#REF!</v>
      </c>
      <c r="S6" s="28">
        <f>(N6-D6)/D6</f>
        <v>-0.20437708238061017</v>
      </c>
      <c r="T6" s="23">
        <f>(M6-I6)/I6</f>
        <v>3.1447552447552449</v>
      </c>
      <c r="U6" s="28" t="e">
        <f>(#REF!-#REF!)/#REF!</f>
        <v>#REF!</v>
      </c>
      <c r="V6" s="28" t="e">
        <f>(#REF!-#REF!)/#REF!</f>
        <v>#REF!</v>
      </c>
      <c r="W6" s="28" t="e">
        <f>(#REF!-#REF!)/#REF!</f>
        <v>#REF!</v>
      </c>
      <c r="X6" s="32">
        <f>(N6-J6)/J6</f>
        <v>3.1446365368908249</v>
      </c>
    </row>
    <row r="7" spans="1:24" x14ac:dyDescent="0.55000000000000004">
      <c r="A7" s="161" t="s">
        <v>9</v>
      </c>
      <c r="B7" s="162"/>
      <c r="C7" s="164"/>
      <c r="D7" s="164"/>
      <c r="E7" s="164"/>
      <c r="F7" s="164"/>
      <c r="G7" s="164"/>
      <c r="H7" s="164"/>
      <c r="I7" s="164"/>
      <c r="J7" s="164"/>
      <c r="K7" s="164"/>
      <c r="L7" s="164"/>
      <c r="M7" s="164"/>
      <c r="N7" s="164"/>
      <c r="O7" s="23"/>
      <c r="P7" s="1"/>
      <c r="Q7" s="1"/>
      <c r="R7" s="1"/>
      <c r="S7" s="1"/>
      <c r="T7" s="17"/>
      <c r="U7" s="1"/>
      <c r="V7" s="1"/>
      <c r="W7" s="1"/>
      <c r="X7" s="18"/>
    </row>
    <row r="8" spans="1:24" x14ac:dyDescent="0.55000000000000004">
      <c r="A8" s="163" t="s">
        <v>11</v>
      </c>
      <c r="B8" s="162" t="s">
        <v>27</v>
      </c>
      <c r="C8" s="164">
        <v>199807771</v>
      </c>
      <c r="D8" s="164">
        <v>1062474</v>
      </c>
      <c r="E8" s="164">
        <v>184042249</v>
      </c>
      <c r="F8" s="164">
        <v>978641</v>
      </c>
      <c r="G8" s="164">
        <v>155282508</v>
      </c>
      <c r="H8" s="164">
        <v>825712</v>
      </c>
      <c r="I8" s="164">
        <v>154350551</v>
      </c>
      <c r="J8" s="164">
        <v>820756</v>
      </c>
      <c r="K8" s="164">
        <v>132554278</v>
      </c>
      <c r="L8" s="164">
        <v>704855</v>
      </c>
      <c r="M8" s="164">
        <v>179909300</v>
      </c>
      <c r="N8" s="164">
        <v>956664</v>
      </c>
      <c r="O8" s="23">
        <f>(M8-(C8+C13))/(C8+C13)</f>
        <v>-0.21688615739977404</v>
      </c>
      <c r="P8" s="28" t="e">
        <f>(#REF!-(#REF!+#REF!))/(#REF!+#REF!)</f>
        <v>#REF!</v>
      </c>
      <c r="Q8" s="28" t="e">
        <f>(#REF!-(#REF!+#REF!))/(#REF!+#REF!)</f>
        <v>#REF!</v>
      </c>
      <c r="R8" s="28" t="e">
        <f>(#REF!-(#REF!+#REF!))/(#REF!+#REF!)</f>
        <v>#REF!</v>
      </c>
      <c r="S8" s="28">
        <f>(N8-(D8+D13))/(D8+D13)</f>
        <v>-0.21688648478736364</v>
      </c>
      <c r="T8" s="23">
        <f>(M8-(I8+I13))/(I8+I13)</f>
        <v>-3.1039072210188871E-2</v>
      </c>
      <c r="U8" s="28" t="e">
        <f>(#REF!-(#REF!+#REF!))/(#REF!+#REF!)</f>
        <v>#REF!</v>
      </c>
      <c r="V8" s="28" t="e">
        <f>(#REF!-(#REF!+#REF!))/(#REF!+#REF!)</f>
        <v>#REF!</v>
      </c>
      <c r="W8" s="28" t="e">
        <f>(#REF!-(#REF!+#REF!))/(#REF!+#REF!)</f>
        <v>#REF!</v>
      </c>
      <c r="X8" s="32">
        <f>(N8-(J8+J13))/(J8+J13)</f>
        <v>-3.1038914868597368E-2</v>
      </c>
    </row>
    <row r="9" spans="1:24" x14ac:dyDescent="0.55000000000000004">
      <c r="A9" s="163" t="s">
        <v>12</v>
      </c>
      <c r="B9" s="162" t="s">
        <v>85</v>
      </c>
      <c r="C9" s="164">
        <f>8868544055/1000</f>
        <v>8868544.0549999997</v>
      </c>
      <c r="D9" s="164">
        <v>4607620</v>
      </c>
      <c r="E9" s="164">
        <f>7474300868/1000</f>
        <v>7474300.8679999998</v>
      </c>
      <c r="F9" s="164">
        <v>3229418</v>
      </c>
      <c r="G9" s="164">
        <f>8962725502/1000</f>
        <v>8962725.5020000003</v>
      </c>
      <c r="H9" s="164">
        <v>4093745</v>
      </c>
      <c r="I9" s="164">
        <f>8788054820/1000</f>
        <v>8788054.8200000003</v>
      </c>
      <c r="J9" s="164">
        <v>4013964</v>
      </c>
      <c r="K9" s="164">
        <f>8429127614/1000</f>
        <v>8429127.6140000001</v>
      </c>
      <c r="L9" s="164">
        <v>3850023</v>
      </c>
      <c r="M9" s="164">
        <f>8763938273/1000</f>
        <v>8763938.273</v>
      </c>
      <c r="N9" s="164">
        <v>4002948</v>
      </c>
      <c r="O9" s="23">
        <f>(M9-(C9+C14))/(C9+C14)</f>
        <v>-5.897933464281898E-2</v>
      </c>
      <c r="P9" s="28" t="e">
        <f>(#REF!-(#REF!+#REF!))/(#REF!+#REF!)</f>
        <v>#REF!</v>
      </c>
      <c r="Q9" s="28" t="e">
        <f>(#REF!-(#REF!+#REF!))/(#REF!+#REF!)</f>
        <v>#REF!</v>
      </c>
      <c r="R9" s="28" t="e">
        <f>(#REF!-(#REF!+#REF!))/(#REF!+#REF!)</f>
        <v>#REF!</v>
      </c>
      <c r="S9" s="28">
        <f>(N9-(D9+D14))/(D9+D14)</f>
        <v>-0.17271438972788503</v>
      </c>
      <c r="T9" s="23">
        <f>(M9-(I9+I14))/(I9+I14)</f>
        <v>-4.3943045735280899E-2</v>
      </c>
      <c r="U9" s="28" t="e">
        <f>(#REF!-(#REF!+#REF!))/(#REF!+#REF!)</f>
        <v>#REF!</v>
      </c>
      <c r="V9" s="28" t="e">
        <f>(#REF!-(#REF!+#REF!))/(#REF!+#REF!)</f>
        <v>#REF!</v>
      </c>
      <c r="W9" s="28" t="e">
        <f>(#REF!-(#REF!+#REF!))/(#REF!+#REF!)</f>
        <v>#REF!</v>
      </c>
      <c r="X9" s="32">
        <f>(N9-(J9+J14))/(J9+J14)</f>
        <v>-4.3943123072127943E-2</v>
      </c>
    </row>
    <row r="10" spans="1:24" x14ac:dyDescent="0.55000000000000004">
      <c r="A10" s="163" t="s">
        <v>13</v>
      </c>
      <c r="B10" s="162" t="s">
        <v>29</v>
      </c>
      <c r="C10" s="164">
        <f>15913*1000</f>
        <v>15913000</v>
      </c>
      <c r="D10" s="164">
        <v>163487</v>
      </c>
      <c r="E10" s="164">
        <f>1000*13267</f>
        <v>13267000</v>
      </c>
      <c r="F10" s="164">
        <v>136302</v>
      </c>
      <c r="G10" s="164">
        <f>7694*1000</f>
        <v>7694000</v>
      </c>
      <c r="H10" s="164">
        <v>79046</v>
      </c>
      <c r="I10" s="164">
        <f>1000*5607</f>
        <v>5607000</v>
      </c>
      <c r="J10" s="165">
        <v>57605</v>
      </c>
      <c r="K10" s="164">
        <f>1000*6243</f>
        <v>6243000</v>
      </c>
      <c r="L10" s="164">
        <v>64139</v>
      </c>
      <c r="M10" s="164">
        <f>1000*5319</f>
        <v>5319000</v>
      </c>
      <c r="N10" s="164">
        <v>54646</v>
      </c>
      <c r="O10" s="23" t="e">
        <f>(M10-(C10+#REF!))/(C10+#REF!)</f>
        <v>#REF!</v>
      </c>
      <c r="P10" s="28" t="e">
        <f>(#REF!-(#REF!+#REF!))/(#REF!+#REF!)</f>
        <v>#REF!</v>
      </c>
      <c r="Q10" s="28" t="e">
        <f>(#REF!-(#REF!+#REF!))/(#REF!+#REF!)</f>
        <v>#REF!</v>
      </c>
      <c r="R10" s="28" t="e">
        <f>(#REF!-(#REF!+#REF!))/(#REF!+#REF!)</f>
        <v>#REF!</v>
      </c>
      <c r="S10" s="28" t="e">
        <f>(N10-(D10+#REF!))/(D10+#REF!)</f>
        <v>#REF!</v>
      </c>
      <c r="T10" s="23">
        <f>(M10-I10)/I10</f>
        <v>-5.1364365971107544E-2</v>
      </c>
      <c r="U10" s="28" t="e">
        <f>(#REF!-#REF!)/#REF!</f>
        <v>#REF!</v>
      </c>
      <c r="V10" s="28" t="e">
        <f>(#REF!-#REF!)/#REF!</f>
        <v>#REF!</v>
      </c>
      <c r="W10" s="28" t="e">
        <f>(#REF!-#REF!)/#REF!</f>
        <v>#REF!</v>
      </c>
      <c r="X10" s="32">
        <f>(N10-J10)/J10</f>
        <v>-5.1367068830830656E-2</v>
      </c>
    </row>
    <row r="11" spans="1:24" x14ac:dyDescent="0.55000000000000004">
      <c r="A11" s="163" t="s">
        <v>33</v>
      </c>
      <c r="B11" s="162" t="s">
        <v>29</v>
      </c>
      <c r="C11" s="164">
        <v>115000</v>
      </c>
      <c r="D11" s="164">
        <v>1175</v>
      </c>
      <c r="E11" s="164">
        <v>5000</v>
      </c>
      <c r="F11" s="164">
        <v>378</v>
      </c>
      <c r="G11" s="164">
        <v>4000</v>
      </c>
      <c r="H11" s="164">
        <v>41</v>
      </c>
      <c r="I11" s="164">
        <v>3000</v>
      </c>
      <c r="J11" s="164">
        <v>31</v>
      </c>
      <c r="K11" s="164">
        <v>0</v>
      </c>
      <c r="L11" s="164">
        <v>0</v>
      </c>
      <c r="M11" s="164">
        <v>0</v>
      </c>
      <c r="N11" s="164">
        <v>0</v>
      </c>
      <c r="O11" s="23" t="e">
        <f>(M11-(C11+#REF!))/(C11+#REF!)</f>
        <v>#REF!</v>
      </c>
      <c r="P11" s="28" t="e">
        <f>(#REF!-(#REF!+#REF!))/(#REF!+#REF!)</f>
        <v>#REF!</v>
      </c>
      <c r="Q11" s="28" t="e">
        <f>(#REF!-(#REF!+#REF!))/(#REF!+#REF!)</f>
        <v>#REF!</v>
      </c>
      <c r="R11" s="28" t="e">
        <f>(#REF!-(#REF!+#REF!))/(#REF!+#REF!)</f>
        <v>#REF!</v>
      </c>
      <c r="S11" s="28">
        <f>(N11-(D11+D15))/(D11+D15)</f>
        <v>-1</v>
      </c>
      <c r="T11" s="23">
        <f>(M11-I11)/I11</f>
        <v>-1</v>
      </c>
      <c r="U11" s="28" t="e">
        <f>(#REF!-#REF!)/#REF!</f>
        <v>#REF!</v>
      </c>
      <c r="V11" s="28" t="e">
        <f>(#REF!-#REF!)/#REF!</f>
        <v>#REF!</v>
      </c>
      <c r="W11" s="28" t="e">
        <f>(#REF!-#REF!)/#REF!</f>
        <v>#REF!</v>
      </c>
      <c r="X11" s="32">
        <f>(N11-J11)/J11</f>
        <v>-1</v>
      </c>
    </row>
    <row r="12" spans="1:24" x14ac:dyDescent="0.55000000000000004">
      <c r="A12" s="161" t="s">
        <v>10</v>
      </c>
      <c r="B12" s="162"/>
      <c r="C12" s="164"/>
      <c r="D12" s="164"/>
      <c r="E12" s="164"/>
      <c r="F12" s="164"/>
      <c r="G12" s="164"/>
      <c r="H12" s="164"/>
      <c r="I12" s="164"/>
      <c r="J12" s="164"/>
      <c r="K12" s="164"/>
      <c r="L12" s="164"/>
      <c r="M12" s="164"/>
      <c r="N12" s="164"/>
      <c r="O12" s="23"/>
      <c r="P12" s="60"/>
      <c r="Q12" s="60"/>
      <c r="R12" s="60"/>
      <c r="S12" s="60"/>
      <c r="T12" s="17"/>
      <c r="U12" s="60"/>
      <c r="V12" s="60"/>
      <c r="W12" s="1"/>
      <c r="X12" s="18"/>
    </row>
    <row r="13" spans="1:24" x14ac:dyDescent="0.55000000000000004">
      <c r="A13" s="163" t="s">
        <v>11</v>
      </c>
      <c r="B13" s="162" t="s">
        <v>27</v>
      </c>
      <c r="C13" s="164">
        <v>29928048</v>
      </c>
      <c r="D13" s="164">
        <v>159142</v>
      </c>
      <c r="E13" s="164">
        <v>3498616</v>
      </c>
      <c r="F13" s="164">
        <v>18604</v>
      </c>
      <c r="G13" s="164">
        <v>33760846</v>
      </c>
      <c r="H13" s="164">
        <v>179523</v>
      </c>
      <c r="I13" s="164">
        <v>31321848</v>
      </c>
      <c r="J13" s="164">
        <v>166553</v>
      </c>
      <c r="K13" s="164">
        <v>24999981</v>
      </c>
      <c r="L13" s="164">
        <v>132937</v>
      </c>
      <c r="M13" s="164"/>
      <c r="N13" s="164"/>
      <c r="O13" s="23"/>
      <c r="P13" s="60"/>
      <c r="Q13" s="60"/>
      <c r="R13" s="60"/>
      <c r="S13" s="60"/>
      <c r="T13" s="17"/>
      <c r="U13" s="60"/>
      <c r="V13" s="60"/>
      <c r="W13" s="1"/>
      <c r="X13" s="18"/>
    </row>
    <row r="14" spans="1:24" x14ac:dyDescent="0.55000000000000004">
      <c r="A14" s="163" t="s">
        <v>12</v>
      </c>
      <c r="B14" s="162" t="s">
        <v>85</v>
      </c>
      <c r="C14" s="164">
        <f>444682100/1000</f>
        <v>444682.1</v>
      </c>
      <c r="D14" s="164">
        <v>231033</v>
      </c>
      <c r="E14" s="164">
        <f>439379152/1000</f>
        <v>439379.152</v>
      </c>
      <c r="F14" s="164">
        <v>189842</v>
      </c>
      <c r="G14" s="164">
        <f>425280934/1000</f>
        <v>425280.93400000001</v>
      </c>
      <c r="H14" s="164">
        <v>194248</v>
      </c>
      <c r="I14" s="164">
        <f>378698514/1000</f>
        <v>378698.51400000002</v>
      </c>
      <c r="J14" s="164">
        <v>172971</v>
      </c>
      <c r="K14" s="164">
        <f>391652242/1000</f>
        <v>391652.24200000003</v>
      </c>
      <c r="L14" s="164">
        <v>178888</v>
      </c>
      <c r="M14" s="164"/>
      <c r="N14" s="164"/>
      <c r="O14" s="23"/>
      <c r="P14" s="60"/>
      <c r="Q14" s="60"/>
      <c r="R14" s="60"/>
      <c r="S14" s="60"/>
      <c r="T14" s="17"/>
      <c r="U14" s="60"/>
      <c r="V14" s="60"/>
      <c r="W14" s="1"/>
      <c r="X14" s="18"/>
    </row>
    <row r="15" spans="1:24" x14ac:dyDescent="0.55000000000000004">
      <c r="A15" s="160" t="s">
        <v>16</v>
      </c>
      <c r="B15" s="166"/>
      <c r="C15" s="166"/>
      <c r="D15" s="167">
        <f>SUM(D4:D14)</f>
        <v>7742526</v>
      </c>
      <c r="E15" s="166"/>
      <c r="F15" s="167">
        <f>SUM(F4:F14)</f>
        <v>6149154</v>
      </c>
      <c r="G15" s="166"/>
      <c r="H15" s="167">
        <f>SUM(H4:H14)</f>
        <v>6861754</v>
      </c>
      <c r="I15" s="166"/>
      <c r="J15" s="167">
        <f>SUM(J4:J14)</f>
        <v>6620183</v>
      </c>
      <c r="K15" s="166"/>
      <c r="L15" s="167">
        <f>SUM(L4:L14)</f>
        <v>6276974</v>
      </c>
      <c r="M15" s="166"/>
      <c r="N15" s="167">
        <f>SUM(N4:N14)</f>
        <v>6449739</v>
      </c>
      <c r="O15" s="36"/>
      <c r="P15" s="37" t="e">
        <f>(#REF!-#REF!)/#REF!</f>
        <v>#REF!</v>
      </c>
      <c r="Q15" s="37" t="e">
        <f>(#REF!-#REF!)/#REF!</f>
        <v>#REF!</v>
      </c>
      <c r="R15" s="37" t="e">
        <f>(#REF!-#REF!)/#REF!</f>
        <v>#REF!</v>
      </c>
      <c r="S15" s="38">
        <f>(N15-D15)/D15</f>
        <v>-0.16697225169150223</v>
      </c>
      <c r="T15" s="36"/>
      <c r="U15" s="37" t="e">
        <f>(#REF!-#REF!)/#REF!</f>
        <v>#REF!</v>
      </c>
      <c r="V15" s="37" t="e">
        <f>(#REF!-#REF!)/#REF!</f>
        <v>#REF!</v>
      </c>
      <c r="W15" s="37" t="e">
        <f>(#REF!-#REF!)/#REF!</f>
        <v>#REF!</v>
      </c>
      <c r="X15" s="38">
        <f>(N15-J15)/J15</f>
        <v>-2.5746116081685356E-2</v>
      </c>
    </row>
    <row r="16" spans="1:24" x14ac:dyDescent="0.55000000000000004">
      <c r="A16" s="168" t="s">
        <v>14</v>
      </c>
      <c r="B16" s="169"/>
      <c r="C16" s="169"/>
      <c r="D16" s="169"/>
      <c r="E16" s="169"/>
      <c r="F16" s="169"/>
      <c r="G16" s="169"/>
      <c r="H16" s="169"/>
      <c r="I16" s="169"/>
      <c r="J16" s="169"/>
      <c r="K16" s="169"/>
      <c r="L16" s="169"/>
      <c r="M16" s="169"/>
      <c r="N16" s="169"/>
      <c r="O16" s="44"/>
      <c r="P16" s="45"/>
      <c r="Q16" s="45"/>
      <c r="R16" s="45"/>
      <c r="S16" s="46"/>
      <c r="T16" s="2"/>
      <c r="U16" s="2"/>
      <c r="V16" s="2"/>
      <c r="W16" s="2"/>
      <c r="X16" s="20"/>
    </row>
    <row r="17" spans="1:24" x14ac:dyDescent="0.55000000000000004">
      <c r="A17" s="163" t="s">
        <v>15</v>
      </c>
      <c r="B17" s="162" t="s">
        <v>85</v>
      </c>
      <c r="C17" s="164">
        <f>252649007/1000</f>
        <v>252649.00700000001</v>
      </c>
      <c r="D17" s="164">
        <v>130536</v>
      </c>
      <c r="E17" s="164">
        <f>267719913/1000</f>
        <v>267719.913</v>
      </c>
      <c r="F17" s="164">
        <v>115050</v>
      </c>
      <c r="G17" s="164">
        <f>258833928/1000</f>
        <v>258833.92800000001</v>
      </c>
      <c r="H17" s="164">
        <v>117606</v>
      </c>
      <c r="I17" s="164">
        <f>259743799/1000</f>
        <v>259743.799</v>
      </c>
      <c r="J17" s="164">
        <v>118020</v>
      </c>
      <c r="K17" s="164">
        <f>258379063/1000</f>
        <v>258379.06299999999</v>
      </c>
      <c r="L17" s="164">
        <v>117399</v>
      </c>
      <c r="M17" s="164">
        <f>276503272/1000</f>
        <v>276503.272</v>
      </c>
      <c r="N17" s="164">
        <v>125635</v>
      </c>
      <c r="O17" s="23">
        <f>(M17-C17)/(C17)</f>
        <v>9.4416618862863705E-2</v>
      </c>
      <c r="P17" s="28" t="e">
        <f>(#REF!-#REF!)/(#REF!)</f>
        <v>#REF!</v>
      </c>
      <c r="Q17" s="28"/>
      <c r="R17" s="28"/>
      <c r="S17" s="32">
        <f>(N17-D17)/(D17)</f>
        <v>-3.7545198259483971E-2</v>
      </c>
      <c r="T17" s="1"/>
      <c r="U17" s="1"/>
      <c r="V17" s="1"/>
      <c r="W17" s="1"/>
      <c r="X17" s="18"/>
    </row>
    <row r="18" spans="1:24" x14ac:dyDescent="0.55000000000000004">
      <c r="A18" s="163" t="s">
        <v>19</v>
      </c>
      <c r="B18" s="162" t="s">
        <v>86</v>
      </c>
      <c r="C18" s="164">
        <f>3416218406/1000000</f>
        <v>3416.218406</v>
      </c>
      <c r="D18" s="164"/>
      <c r="E18" s="164">
        <f>3400391430/1000000</f>
        <v>3400.3914300000001</v>
      </c>
      <c r="F18" s="164"/>
      <c r="G18" s="164">
        <f>3384908519/1000000</f>
        <v>3384.9085190000001</v>
      </c>
      <c r="H18" s="164"/>
      <c r="I18" s="164">
        <f>3363232443/1000000</f>
        <v>3363.2324429999999</v>
      </c>
      <c r="J18" s="164"/>
      <c r="K18" s="164">
        <f>3573113015.94273/1000000</f>
        <v>3573.1130159427298</v>
      </c>
      <c r="L18" s="164"/>
      <c r="M18" s="164">
        <f>3584170854.29516/1000000</f>
        <v>3584.1708542951596</v>
      </c>
      <c r="N18" s="164"/>
      <c r="O18" s="23">
        <f>(M18-C18)/(C18)</f>
        <v>4.9163264269105306E-2</v>
      </c>
      <c r="P18" s="28" t="e">
        <f>(#REF!-#REF!)/#REF!</f>
        <v>#REF!</v>
      </c>
      <c r="Q18" s="28"/>
      <c r="R18" s="28"/>
      <c r="S18" s="154">
        <f>((N19+N20)-(D19+D20))/(D19+D20)</f>
        <v>-0.15135230022825699</v>
      </c>
      <c r="T18" s="1"/>
      <c r="U18" s="1"/>
      <c r="V18" s="1"/>
      <c r="W18" s="1"/>
      <c r="X18" s="18"/>
    </row>
    <row r="19" spans="1:24" x14ac:dyDescent="0.55000000000000004">
      <c r="A19" s="170" t="s">
        <v>17</v>
      </c>
      <c r="B19" s="162" t="s">
        <v>29</v>
      </c>
      <c r="C19" s="164">
        <v>170152509.16942993</v>
      </c>
      <c r="D19" s="165">
        <v>1507374</v>
      </c>
      <c r="E19" s="171">
        <v>173296082.7760058</v>
      </c>
      <c r="F19" s="164">
        <v>1550173</v>
      </c>
      <c r="G19" s="164">
        <v>173591258.79225129</v>
      </c>
      <c r="H19" s="164">
        <v>1547799</v>
      </c>
      <c r="I19" s="164">
        <v>173309963.29913437</v>
      </c>
      <c r="J19" s="164">
        <v>1545175</v>
      </c>
      <c r="K19" s="164">
        <v>171849970.58681944</v>
      </c>
      <c r="L19" s="164">
        <v>1548894</v>
      </c>
      <c r="M19" s="164">
        <v>172356035.11476341</v>
      </c>
      <c r="N19" s="164">
        <v>1535511</v>
      </c>
      <c r="O19" s="23">
        <f>(M19-C19)/(C19)</f>
        <v>1.2950299446594187E-2</v>
      </c>
      <c r="P19" s="28" t="e">
        <f>(#REF!-#REF!)/(#REF!)</f>
        <v>#REF!</v>
      </c>
      <c r="Q19" s="28" t="e">
        <f>(#REF!-#REF!)/(#REF!)</f>
        <v>#REF!</v>
      </c>
      <c r="R19" s="28" t="e">
        <f>(#REF!-#REF!)/#REF!</f>
        <v>#REF!</v>
      </c>
      <c r="S19" s="32">
        <f>(N19-(D19))/(D19)</f>
        <v>1.8666236779989572E-2</v>
      </c>
      <c r="T19" s="1"/>
      <c r="U19" s="1"/>
      <c r="V19" s="1"/>
      <c r="W19" s="1"/>
      <c r="X19" s="18"/>
    </row>
    <row r="20" spans="1:24" x14ac:dyDescent="0.55000000000000004">
      <c r="A20" s="170" t="s">
        <v>18</v>
      </c>
      <c r="B20" s="162" t="s">
        <v>29</v>
      </c>
      <c r="C20" s="164">
        <v>40423617.984491713</v>
      </c>
      <c r="D20" s="164">
        <v>412392</v>
      </c>
      <c r="E20" s="171">
        <v>36724096.464981996</v>
      </c>
      <c r="F20" s="164">
        <v>375262</v>
      </c>
      <c r="G20" s="164">
        <v>36764077.149807982</v>
      </c>
      <c r="H20" s="164">
        <v>375669</v>
      </c>
      <c r="I20" s="164">
        <v>36530623.939352103</v>
      </c>
      <c r="J20" s="164">
        <v>373283</v>
      </c>
      <c r="K20" s="164">
        <v>9148851.3467525393</v>
      </c>
      <c r="L20" s="164">
        <v>93540</v>
      </c>
      <c r="M20" s="164">
        <v>9176437.4889105819</v>
      </c>
      <c r="N20" s="164">
        <v>93694</v>
      </c>
      <c r="O20" s="23">
        <f>(M20-C20)/(C20)</f>
        <v>-0.77299316720163269</v>
      </c>
      <c r="P20" s="28" t="e">
        <f>(#REF!-#REF!)/(#REF!)</f>
        <v>#REF!</v>
      </c>
      <c r="Q20" s="28" t="e">
        <f>(#REF!-#REF!)/(#REF!)</f>
        <v>#REF!</v>
      </c>
      <c r="R20" s="28" t="e">
        <f>(#REF!-#REF!)/#REF!</f>
        <v>#REF!</v>
      </c>
      <c r="S20" s="32">
        <f>(N20-(D20))/(D20)</f>
        <v>-0.77280354614056523</v>
      </c>
      <c r="T20" s="1"/>
      <c r="U20" s="1"/>
      <c r="V20" s="1"/>
      <c r="W20" s="1"/>
      <c r="X20" s="18"/>
    </row>
    <row r="21" spans="1:24" x14ac:dyDescent="0.55000000000000004">
      <c r="A21" s="168" t="s">
        <v>20</v>
      </c>
      <c r="B21" s="169"/>
      <c r="C21" s="172"/>
      <c r="D21" s="172">
        <f t="shared" ref="D21:N21" si="0">SUM(D17:D20)</f>
        <v>2050302</v>
      </c>
      <c r="E21" s="172"/>
      <c r="F21" s="172">
        <f>SUM(F17:F20)</f>
        <v>2040485</v>
      </c>
      <c r="G21" s="172"/>
      <c r="H21" s="172">
        <f t="shared" si="0"/>
        <v>2041074</v>
      </c>
      <c r="I21" s="172"/>
      <c r="J21" s="172">
        <f>SUM(J17:J20)</f>
        <v>2036478</v>
      </c>
      <c r="K21" s="172"/>
      <c r="L21" s="172">
        <f t="shared" si="0"/>
        <v>1759833</v>
      </c>
      <c r="M21" s="172"/>
      <c r="N21" s="172">
        <f t="shared" si="0"/>
        <v>1754840</v>
      </c>
      <c r="O21" s="61"/>
      <c r="P21" s="47" t="e">
        <f>(#REF!-#REF!)/(#REF!)</f>
        <v>#REF!</v>
      </c>
      <c r="Q21" s="47" t="e">
        <f>(#REF!-#REF!)/(#REF!)</f>
        <v>#REF!</v>
      </c>
      <c r="R21" s="47" t="e">
        <f>(#REF!-#REF!)/#REF!</f>
        <v>#REF!</v>
      </c>
      <c r="S21" s="155">
        <f>(N21-(D21))/(D21)</f>
        <v>-0.14410657551911865</v>
      </c>
      <c r="T21" s="40"/>
      <c r="U21" s="40"/>
      <c r="V21" s="40"/>
      <c r="W21" s="40"/>
      <c r="X21" s="48">
        <f>(N21-J21)/J21</f>
        <v>-0.13829660816370223</v>
      </c>
    </row>
    <row r="22" spans="1:24" x14ac:dyDescent="0.55000000000000004">
      <c r="A22" s="174" t="s">
        <v>21</v>
      </c>
      <c r="B22" s="174"/>
      <c r="C22" s="175"/>
      <c r="D22" s="175"/>
      <c r="E22" s="175"/>
      <c r="F22" s="175"/>
      <c r="G22" s="175"/>
      <c r="H22" s="175"/>
      <c r="I22" s="175"/>
      <c r="J22" s="175"/>
      <c r="K22" s="175"/>
      <c r="L22" s="175"/>
      <c r="M22" s="175"/>
      <c r="N22" s="175"/>
      <c r="O22" s="21"/>
      <c r="P22" s="3"/>
      <c r="Q22" s="3"/>
      <c r="R22" s="3"/>
      <c r="S22" s="3"/>
      <c r="T22" s="21"/>
      <c r="U22" s="3"/>
      <c r="V22" s="3"/>
      <c r="W22" s="3"/>
      <c r="X22" s="22"/>
    </row>
    <row r="23" spans="1:24" x14ac:dyDescent="0.55000000000000004">
      <c r="A23" s="161" t="s">
        <v>22</v>
      </c>
      <c r="B23" s="162" t="s">
        <v>24</v>
      </c>
      <c r="C23" s="164">
        <v>800000</v>
      </c>
      <c r="D23" s="164">
        <v>308340</v>
      </c>
      <c r="E23" s="164">
        <v>545974.00000000012</v>
      </c>
      <c r="F23" s="164">
        <v>161310</v>
      </c>
      <c r="G23" s="164">
        <v>563011.07017543865</v>
      </c>
      <c r="H23" s="164">
        <v>166343</v>
      </c>
      <c r="I23" s="164">
        <v>538523</v>
      </c>
      <c r="J23" s="164">
        <v>166621</v>
      </c>
      <c r="K23" s="164">
        <v>636513</v>
      </c>
      <c r="L23" s="164">
        <v>188060</v>
      </c>
      <c r="M23" s="164">
        <v>613920</v>
      </c>
      <c r="N23" s="165">
        <v>181385</v>
      </c>
      <c r="O23" s="51"/>
      <c r="P23" s="1"/>
      <c r="Q23" s="1"/>
      <c r="R23" s="1"/>
      <c r="S23" s="1"/>
      <c r="T23" s="17"/>
      <c r="U23" s="1"/>
      <c r="V23" s="1"/>
      <c r="W23" s="1"/>
      <c r="X23" s="18"/>
    </row>
    <row r="24" spans="1:24" x14ac:dyDescent="0.55000000000000004">
      <c r="A24" s="161" t="s">
        <v>23</v>
      </c>
      <c r="B24" s="162" t="s">
        <v>24</v>
      </c>
      <c r="C24" s="164">
        <v>0</v>
      </c>
      <c r="D24" s="164"/>
      <c r="E24" s="164">
        <v>217626</v>
      </c>
      <c r="F24" s="164">
        <v>75524</v>
      </c>
      <c r="G24" s="164">
        <v>224417</v>
      </c>
      <c r="H24" s="164">
        <v>77881</v>
      </c>
      <c r="I24" s="164">
        <v>226732</v>
      </c>
      <c r="J24" s="164">
        <v>78684</v>
      </c>
      <c r="K24" s="164">
        <v>212171</v>
      </c>
      <c r="L24" s="164">
        <v>73631</v>
      </c>
      <c r="M24" s="164">
        <v>206521</v>
      </c>
      <c r="N24" s="164">
        <v>71670</v>
      </c>
      <c r="O24" s="51"/>
      <c r="P24" s="1"/>
      <c r="Q24" s="1"/>
      <c r="R24" s="1"/>
      <c r="S24" s="1"/>
      <c r="T24" s="17"/>
      <c r="U24" s="1"/>
      <c r="V24" s="1"/>
      <c r="W24" s="1"/>
      <c r="X24" s="18"/>
    </row>
    <row r="25" spans="1:24" ht="14.7" thickBot="1" x14ac:dyDescent="0.6">
      <c r="A25" s="174" t="s">
        <v>25</v>
      </c>
      <c r="B25" s="174"/>
      <c r="C25" s="175">
        <f>C24+C23</f>
        <v>800000</v>
      </c>
      <c r="D25" s="175">
        <f t="shared" ref="D25:N25" si="1">D24+D23</f>
        <v>308340</v>
      </c>
      <c r="E25" s="175">
        <f t="shared" si="1"/>
        <v>763600.00000000012</v>
      </c>
      <c r="F25" s="175">
        <f>F24+F23</f>
        <v>236834</v>
      </c>
      <c r="G25" s="175">
        <f t="shared" si="1"/>
        <v>787428.07017543865</v>
      </c>
      <c r="H25" s="175">
        <f t="shared" si="1"/>
        <v>244224</v>
      </c>
      <c r="I25" s="175">
        <f>I23+I24</f>
        <v>765255</v>
      </c>
      <c r="J25" s="175">
        <f>J24+J23</f>
        <v>245305</v>
      </c>
      <c r="K25" s="175">
        <f t="shared" si="1"/>
        <v>848684</v>
      </c>
      <c r="L25" s="175">
        <f t="shared" si="1"/>
        <v>261691</v>
      </c>
      <c r="M25" s="175">
        <f t="shared" si="1"/>
        <v>820441</v>
      </c>
      <c r="N25" s="175">
        <f t="shared" si="1"/>
        <v>253055</v>
      </c>
      <c r="O25" s="53">
        <f>(M25-C25)/C25</f>
        <v>2.5551250000000001E-2</v>
      </c>
      <c r="P25" s="52"/>
      <c r="Q25" s="52"/>
      <c r="R25" s="52"/>
      <c r="S25" s="54">
        <f>(N25-D25)/D25</f>
        <v>-0.17929882597133034</v>
      </c>
      <c r="T25" s="33"/>
      <c r="U25" s="3"/>
      <c r="V25" s="3"/>
      <c r="W25" s="3"/>
      <c r="X25" s="55">
        <f>(N25-J25)/J25</f>
        <v>3.1593322598397915E-2</v>
      </c>
    </row>
    <row r="26" spans="1:24" ht="14.7" thickBot="1" x14ac:dyDescent="0.6">
      <c r="A26" s="8" t="s">
        <v>26</v>
      </c>
      <c r="B26" s="9"/>
      <c r="C26" s="39"/>
      <c r="D26" s="173">
        <f>SUM(D25,D15,D21)</f>
        <v>10101168</v>
      </c>
      <c r="E26" s="9"/>
      <c r="F26" s="173">
        <f>SUM(F25,F15,F21)</f>
        <v>8426473</v>
      </c>
      <c r="G26" s="9">
        <f t="shared" ref="G26:N26" si="2">SUM(G25,G15,G21)</f>
        <v>787428.07017543865</v>
      </c>
      <c r="H26" s="173">
        <f t="shared" si="2"/>
        <v>9147052</v>
      </c>
      <c r="I26" s="9"/>
      <c r="J26" s="84">
        <f t="shared" si="2"/>
        <v>8901966</v>
      </c>
      <c r="K26" s="9"/>
      <c r="L26" s="84">
        <f t="shared" si="2"/>
        <v>8298498</v>
      </c>
      <c r="M26" s="158"/>
      <c r="N26" s="84">
        <f t="shared" si="2"/>
        <v>8457634</v>
      </c>
      <c r="O26" s="9"/>
      <c r="P26" s="56" t="e">
        <f>(#REF!-#REF!)/#REF!</f>
        <v>#REF!</v>
      </c>
      <c r="Q26" s="56" t="e">
        <f>(#REF!-#REF!)/#REF!</f>
        <v>#REF!</v>
      </c>
      <c r="R26" s="56" t="e">
        <f>(#REF!-#REF!)/#REF!</f>
        <v>#REF!</v>
      </c>
      <c r="S26" s="57">
        <f>(N26-D26)/D26</f>
        <v>-0.16270732255913375</v>
      </c>
      <c r="T26" s="9"/>
      <c r="U26" s="62" t="e">
        <f>(#REF!-#REF!)/#REF!</f>
        <v>#REF!</v>
      </c>
      <c r="V26" s="62" t="e">
        <f>(#REF!-#REF!)/#REF!</f>
        <v>#REF!</v>
      </c>
      <c r="W26" s="62" t="e">
        <f>(#REF!-#REF!)/#REF!</f>
        <v>#REF!</v>
      </c>
      <c r="X26" s="68">
        <f>(N26-J26)/J26</f>
        <v>-4.9913917891845468E-2</v>
      </c>
    </row>
    <row r="27" spans="1:24" ht="14.7" thickBot="1" x14ac:dyDescent="0.6">
      <c r="A27" s="64" t="s">
        <v>41</v>
      </c>
      <c r="B27" s="4"/>
      <c r="C27" s="4"/>
      <c r="D27" s="142">
        <f>(D26-$D$26)/$D$26</f>
        <v>0</v>
      </c>
      <c r="E27" s="159"/>
      <c r="F27" s="142">
        <f>(F26-$D$26)/$D$26</f>
        <v>-0.16579221333612112</v>
      </c>
      <c r="G27" s="4"/>
      <c r="H27" s="143">
        <f>(H26-$D$26)/$D$26</f>
        <v>-9.445600746369133E-2</v>
      </c>
      <c r="I27" s="4"/>
      <c r="J27" s="143">
        <f>(J26-$D$26)/$D$26</f>
        <v>-0.11871914218236941</v>
      </c>
      <c r="K27" s="4"/>
      <c r="L27" s="153">
        <f>(L26-$D$26)/$D$26</f>
        <v>-0.17846154028920219</v>
      </c>
      <c r="M27" s="4"/>
      <c r="N27" s="153">
        <f>(N26-$D$26)/$D$26</f>
        <v>-0.16270732255913375</v>
      </c>
      <c r="O27" s="65"/>
      <c r="P27" s="65"/>
      <c r="Q27" s="65"/>
      <c r="R27" s="65"/>
      <c r="S27" s="66"/>
      <c r="T27" s="65"/>
      <c r="U27" s="65"/>
      <c r="V27" s="65"/>
      <c r="W27" s="65"/>
      <c r="X27" s="67"/>
    </row>
    <row r="28" spans="1:24" ht="14.7" thickBot="1" x14ac:dyDescent="0.6">
      <c r="A28" s="64" t="s">
        <v>69</v>
      </c>
      <c r="B28" s="59"/>
      <c r="C28" s="115"/>
      <c r="D28" s="141">
        <f>(D25-D25)/D25</f>
        <v>0</v>
      </c>
      <c r="E28" s="115"/>
      <c r="F28" s="121">
        <f>(F26-D26)/D26</f>
        <v>-0.16579221333612112</v>
      </c>
      <c r="G28" s="115"/>
      <c r="H28" s="121">
        <f>(H26-F26)/F26</f>
        <v>8.5513713744766046E-2</v>
      </c>
      <c r="I28" s="115"/>
      <c r="J28" s="121">
        <f>(J26-H26)/H26</f>
        <v>-2.6793987833457163E-2</v>
      </c>
      <c r="K28" s="115"/>
      <c r="L28" s="121">
        <f>(L26-J26)/J26</f>
        <v>-6.7790418431164526E-2</v>
      </c>
      <c r="M28" s="115"/>
      <c r="N28" s="121">
        <f>(N26-L26)/L26</f>
        <v>1.9176482298362909E-2</v>
      </c>
      <c r="O28" s="1"/>
      <c r="P28" s="1"/>
      <c r="Q28" s="1"/>
      <c r="R28" s="1"/>
      <c r="S28" s="43"/>
      <c r="T28" s="1"/>
      <c r="U28" s="1"/>
      <c r="V28" s="1"/>
      <c r="W28" s="1"/>
      <c r="X28" s="1"/>
    </row>
    <row r="29" spans="1:24" x14ac:dyDescent="0.55000000000000004">
      <c r="A29" s="7" t="s">
        <v>44</v>
      </c>
      <c r="B29" s="58">
        <f>((N26-D26)/D26)/(2013-2006)</f>
        <v>-2.3243903222733394E-2</v>
      </c>
      <c r="D29" s="7" t="s">
        <v>73</v>
      </c>
      <c r="E29" s="7" t="s">
        <v>74</v>
      </c>
    </row>
    <row r="30" spans="1:24" x14ac:dyDescent="0.55000000000000004">
      <c r="A30" s="7" t="s">
        <v>45</v>
      </c>
      <c r="B30" s="58">
        <f>N27+B29+B29</f>
        <v>-0.20919512900460055</v>
      </c>
      <c r="D30" s="117">
        <v>1139.07</v>
      </c>
      <c r="E30" s="117">
        <v>30.27</v>
      </c>
      <c r="L30" s="58"/>
    </row>
    <row r="31" spans="1:24" x14ac:dyDescent="0.55000000000000004">
      <c r="A31" s="7" t="s">
        <v>46</v>
      </c>
      <c r="B31" s="7">
        <f>0.8*D26</f>
        <v>8080934.4000000004</v>
      </c>
      <c r="D31" s="7">
        <f>((($M$5+$M$9+$M$17)*0.001)*D30)/2204.62</f>
        <v>5616.5951475364145</v>
      </c>
      <c r="E31" s="7">
        <f>((($M$5+$M$9+$M$17)*0.000001)*E30)/2204.62</f>
        <v>0.14925714408765681</v>
      </c>
    </row>
    <row r="32" spans="1:24" x14ac:dyDescent="0.55000000000000004">
      <c r="A32" s="7" t="s">
        <v>47</v>
      </c>
      <c r="B32" s="7">
        <f>(N26*(1+(B29*2)))</f>
        <v>8064457.1476214007</v>
      </c>
      <c r="D32" s="151" t="e">
        <f>#REF!+#REF!+#REF!</f>
        <v>#REF!</v>
      </c>
      <c r="E32" s="151" t="e">
        <f>#REF!+#REF!+#REF!</f>
        <v>#REF!</v>
      </c>
      <c r="F32" s="127">
        <f>D26-N26</f>
        <v>1643534</v>
      </c>
    </row>
    <row r="33" spans="1:5" x14ac:dyDescent="0.55000000000000004">
      <c r="D33" s="152"/>
      <c r="E33" s="41"/>
    </row>
    <row r="34" spans="1:5" x14ac:dyDescent="0.55000000000000004">
      <c r="A34" s="63" t="s">
        <v>31</v>
      </c>
    </row>
    <row r="35" spans="1:5" x14ac:dyDescent="0.55000000000000004">
      <c r="A35" s="7" t="s">
        <v>32</v>
      </c>
    </row>
    <row r="36" spans="1:5" x14ac:dyDescent="0.55000000000000004">
      <c r="A36" s="7" t="s">
        <v>43</v>
      </c>
    </row>
    <row r="37" spans="1:5" x14ac:dyDescent="0.55000000000000004">
      <c r="A37" s="7" t="s">
        <v>34</v>
      </c>
    </row>
    <row r="38" spans="1:5" x14ac:dyDescent="0.55000000000000004">
      <c r="A38" s="7" t="s">
        <v>42</v>
      </c>
    </row>
    <row r="39" spans="1:5" x14ac:dyDescent="0.55000000000000004">
      <c r="A39" s="7" t="s">
        <v>35</v>
      </c>
    </row>
    <row r="40" spans="1:5" x14ac:dyDescent="0.55000000000000004">
      <c r="A40" s="7" t="s">
        <v>40</v>
      </c>
    </row>
    <row r="41" spans="1:5" x14ac:dyDescent="0.55000000000000004">
      <c r="A41" s="7" t="s">
        <v>71</v>
      </c>
    </row>
    <row r="42" spans="1:5" x14ac:dyDescent="0.55000000000000004">
      <c r="A42" s="7" t="s">
        <v>72</v>
      </c>
    </row>
    <row r="43" spans="1:5" x14ac:dyDescent="0.55000000000000004">
      <c r="A43" s="7" t="s">
        <v>78</v>
      </c>
    </row>
    <row r="44" spans="1:5" x14ac:dyDescent="0.55000000000000004">
      <c r="A44" s="7" t="s">
        <v>84</v>
      </c>
    </row>
  </sheetData>
  <mergeCells count="8">
    <mergeCell ref="O1:S1"/>
    <mergeCell ref="T1:X1"/>
    <mergeCell ref="C1:D1"/>
    <mergeCell ref="E1:F1"/>
    <mergeCell ref="G1:H1"/>
    <mergeCell ref="I1:J1"/>
    <mergeCell ref="K1:L1"/>
    <mergeCell ref="M1:N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Citywide by Sector</vt:lpstr>
      <vt:lpstr>Method - Citywide</vt:lpstr>
      <vt:lpstr>Gov Ops</vt:lpstr>
      <vt:lpstr>Gov Ops Summary Table </vt:lpstr>
      <vt:lpstr>Method - Gov Ops</vt:lpstr>
      <vt:lpstr>City Charts --&gt;</vt:lpstr>
      <vt:lpstr>Clean Energy</vt:lpstr>
      <vt:lpstr>Citywide by Sector_not updated</vt:lpstr>
      <vt:lpstr>'Citywide by Sector'!Print_Area</vt:lpstr>
      <vt:lpstr>'Gov Ops'!Print_Area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Johnson</dc:creator>
  <cp:lastModifiedBy>Hatch, Jenn (DOEE)</cp:lastModifiedBy>
  <cp:lastPrinted>2018-02-26T19:48:07Z</cp:lastPrinted>
  <dcterms:created xsi:type="dcterms:W3CDTF">2015-03-05T17:46:25Z</dcterms:created>
  <dcterms:modified xsi:type="dcterms:W3CDTF">2020-10-20T13:15:37Z</dcterms:modified>
</cp:coreProperties>
</file>