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 defaultThemeVersion="124226"/>
  <bookViews>
    <workbookView xWindow="0" yWindow="0" windowWidth="20160" windowHeight="8385" tabRatio="617"/>
  </bookViews>
  <sheets>
    <sheet name="Information" sheetId="23" r:id="rId1"/>
    <sheet name="Site Data" sheetId="1" r:id="rId2"/>
    <sheet name="Public ROW" sheetId="33" r:id="rId3"/>
    <sheet name="SDA 1" sheetId="2" r:id="rId4"/>
    <sheet name="SDA 2" sheetId="24" r:id="rId5"/>
    <sheet name="SDA 3" sheetId="25" r:id="rId6"/>
    <sheet name="SDA 4" sheetId="26" r:id="rId7"/>
    <sheet name="SDA 5" sheetId="27" r:id="rId8"/>
    <sheet name="SDA 6" sheetId="28" r:id="rId9"/>
    <sheet name="SDA 7" sheetId="29" r:id="rId10"/>
    <sheet name="SDA 8" sheetId="30" r:id="rId11"/>
    <sheet name="SDA 9" sheetId="31" r:id="rId12"/>
    <sheet name="SDA 10" sheetId="32" r:id="rId13"/>
    <sheet name="Compliance" sheetId="12" r:id="rId14"/>
    <sheet name="Channel and Flood Protection" sheetId="11" r:id="rId15"/>
  </sheets>
  <definedNames>
    <definedName name="_xlnm._FilterDatabase" localSheetId="2" hidden="1">'Public ROW'!#REF!</definedName>
    <definedName name="_xlnm._FilterDatabase" localSheetId="3" hidden="1">'SDA 1'!#REF!</definedName>
    <definedName name="_xlnm._FilterDatabase" localSheetId="12" hidden="1">'SDA 10'!#REF!</definedName>
    <definedName name="_xlnm._FilterDatabase" localSheetId="4" hidden="1">'SDA 2'!#REF!</definedName>
    <definedName name="_xlnm._FilterDatabase" localSheetId="5" hidden="1">'SDA 3'!#REF!</definedName>
    <definedName name="_xlnm._FilterDatabase" localSheetId="6" hidden="1">'SDA 4'!#REF!</definedName>
    <definedName name="_xlnm._FilterDatabase" localSheetId="7" hidden="1">'SDA 5'!#REF!</definedName>
    <definedName name="_xlnm._FilterDatabase" localSheetId="8" hidden="1">'SDA 6'!#REF!</definedName>
    <definedName name="_xlnm._FilterDatabase" localSheetId="9" hidden="1">'SDA 7'!#REF!</definedName>
    <definedName name="_xlnm._FilterDatabase" localSheetId="10" hidden="1">'SDA 8'!#REF!</definedName>
    <definedName name="_xlnm._FilterDatabase" localSheetId="11" hidden="1">'SDA 9'!#REF!</definedName>
    <definedName name="_xlnm.Print_Area" localSheetId="2">'Public ROW'!$A$1:$R$84</definedName>
    <definedName name="_xlnm.Print_Area" localSheetId="3">'SDA 1'!$A$1:$R$86</definedName>
    <definedName name="_xlnm.Print_Area" localSheetId="12">'SDA 10'!$A$1:$R$84</definedName>
    <definedName name="_xlnm.Print_Area" localSheetId="4">'SDA 2'!$A$1:$R$86</definedName>
    <definedName name="_xlnm.Print_Area" localSheetId="5">'SDA 3'!$A$1:$R$86</definedName>
    <definedName name="_xlnm.Print_Area" localSheetId="6">'SDA 4'!$A$1:$R$88</definedName>
    <definedName name="_xlnm.Print_Area" localSheetId="7">'SDA 5'!$A$1:$R$86</definedName>
    <definedName name="_xlnm.Print_Area" localSheetId="8">'SDA 6'!$A$1:$R$84</definedName>
    <definedName name="_xlnm.Print_Area" localSheetId="9">'SDA 7'!$A$1:$R$84</definedName>
    <definedName name="_xlnm.Print_Area" localSheetId="10">'SDA 8'!$A$1:$R$84</definedName>
    <definedName name="_xlnm.Print_Area" localSheetId="11">'SDA 9'!$A$1:$R$84</definedName>
    <definedName name="solver_cvg" localSheetId="14" hidden="1">0.0001</definedName>
    <definedName name="solver_drv" localSheetId="14" hidden="1">1</definedName>
    <definedName name="solver_est" localSheetId="14" hidden="1">1</definedName>
    <definedName name="solver_itr" localSheetId="14" hidden="1">100</definedName>
    <definedName name="solver_lhs1" localSheetId="14" hidden="1">'Channel and Flood Protection'!#REF!</definedName>
    <definedName name="solver_lin" localSheetId="14" hidden="1">2</definedName>
    <definedName name="solver_neg" localSheetId="14" hidden="1">2</definedName>
    <definedName name="solver_num" localSheetId="14" hidden="1">0</definedName>
    <definedName name="solver_nwt" localSheetId="14" hidden="1">1</definedName>
    <definedName name="solver_pre" localSheetId="14" hidden="1">0.000001</definedName>
    <definedName name="solver_rel1" localSheetId="14" hidden="1">2</definedName>
    <definedName name="solver_rhs1" localSheetId="14" hidden="1">'Channel and Flood Protection'!#REF!</definedName>
    <definedName name="solver_scl" localSheetId="14" hidden="1">2</definedName>
    <definedName name="solver_sho" localSheetId="14" hidden="1">2</definedName>
    <definedName name="solver_tim" localSheetId="14" hidden="1">100</definedName>
    <definedName name="solver_tol" localSheetId="14" hidden="1">0.05</definedName>
    <definedName name="solver_typ" localSheetId="14" hidden="1">1</definedName>
    <definedName name="solver_val" localSheetId="14" hidden="1">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1" l="1"/>
  <c r="C17" i="11"/>
  <c r="C16" i="11"/>
  <c r="C15" i="11"/>
  <c r="C14" i="11"/>
  <c r="C13" i="11"/>
  <c r="C12" i="11"/>
  <c r="C11" i="11"/>
  <c r="C10" i="11"/>
  <c r="C9" i="11"/>
  <c r="B99" i="33" l="1"/>
  <c r="P91" i="33"/>
  <c r="T86" i="33" s="1"/>
  <c r="T87" i="33" s="1"/>
  <c r="B244" i="12" s="1"/>
  <c r="P90" i="33"/>
  <c r="B239" i="12" s="1"/>
  <c r="T89" i="33"/>
  <c r="T90" i="33" s="1"/>
  <c r="U90" i="33" s="1"/>
  <c r="P89" i="33"/>
  <c r="B238" i="12" s="1"/>
  <c r="F84" i="33"/>
  <c r="E84" i="33"/>
  <c r="C84" i="33"/>
  <c r="AQ81" i="33"/>
  <c r="AP81" i="33"/>
  <c r="AO81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T81" i="33"/>
  <c r="P81" i="33"/>
  <c r="A81" i="33"/>
  <c r="AQ79" i="33"/>
  <c r="AP79" i="33"/>
  <c r="AO79" i="33"/>
  <c r="AN79" i="33"/>
  <c r="AM79" i="33"/>
  <c r="AL79" i="33"/>
  <c r="AK79" i="33"/>
  <c r="AJ79" i="33"/>
  <c r="AI79" i="33"/>
  <c r="AH79" i="33"/>
  <c r="AG79" i="33"/>
  <c r="AF79" i="33"/>
  <c r="AE79" i="33"/>
  <c r="AD79" i="33"/>
  <c r="AC79" i="33"/>
  <c r="AB79" i="33"/>
  <c r="AA79" i="33"/>
  <c r="Z79" i="33"/>
  <c r="Y79" i="33"/>
  <c r="X79" i="33"/>
  <c r="W79" i="33"/>
  <c r="T79" i="33"/>
  <c r="P79" i="33"/>
  <c r="A79" i="33"/>
  <c r="AQ77" i="33"/>
  <c r="AP77" i="33"/>
  <c r="AO77" i="33"/>
  <c r="AN77" i="33"/>
  <c r="AM77" i="33"/>
  <c r="AL77" i="33"/>
  <c r="AK77" i="33"/>
  <c r="AJ77" i="33"/>
  <c r="AI77" i="33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T77" i="33"/>
  <c r="P77" i="33"/>
  <c r="A77" i="33"/>
  <c r="AQ75" i="33"/>
  <c r="AP75" i="33"/>
  <c r="AO75" i="33"/>
  <c r="AN75" i="33"/>
  <c r="AM75" i="33"/>
  <c r="AL75" i="33"/>
  <c r="AK75" i="33"/>
  <c r="AJ75" i="33"/>
  <c r="AI75" i="33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T75" i="33"/>
  <c r="P75" i="33"/>
  <c r="A75" i="33"/>
  <c r="AQ73" i="33"/>
  <c r="AP73" i="33"/>
  <c r="AO73" i="33"/>
  <c r="AN73" i="33"/>
  <c r="AM73" i="33"/>
  <c r="AL73" i="33"/>
  <c r="AK73" i="33"/>
  <c r="AJ73" i="33"/>
  <c r="AI73" i="33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T73" i="33"/>
  <c r="P73" i="33"/>
  <c r="A73" i="33"/>
  <c r="AQ71" i="33"/>
  <c r="AP71" i="33"/>
  <c r="AO71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T71" i="33"/>
  <c r="H71" i="33"/>
  <c r="A71" i="33"/>
  <c r="AQ69" i="33"/>
  <c r="AP69" i="33"/>
  <c r="AO69" i="33"/>
  <c r="AN69" i="33"/>
  <c r="AM69" i="33"/>
  <c r="AL69" i="33"/>
  <c r="AK69" i="33"/>
  <c r="AJ69" i="33"/>
  <c r="AI69" i="33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T69" i="33"/>
  <c r="R69" i="33"/>
  <c r="H69" i="33"/>
  <c r="A69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T67" i="33"/>
  <c r="R67" i="33"/>
  <c r="H67" i="33"/>
  <c r="A67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T65" i="33"/>
  <c r="H65" i="33"/>
  <c r="A65" i="33"/>
  <c r="AQ63" i="33"/>
  <c r="AP63" i="33"/>
  <c r="AO63" i="33"/>
  <c r="AN63" i="33"/>
  <c r="AM63" i="33"/>
  <c r="AL63" i="33"/>
  <c r="AK63" i="33"/>
  <c r="AJ63" i="33"/>
  <c r="AI63" i="33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T63" i="33"/>
  <c r="H63" i="33"/>
  <c r="A63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T61" i="33"/>
  <c r="R61" i="33"/>
  <c r="H61" i="33"/>
  <c r="A61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T59" i="33"/>
  <c r="R59" i="33"/>
  <c r="H59" i="33"/>
  <c r="A59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H57" i="33"/>
  <c r="A57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T55" i="33"/>
  <c r="H55" i="33"/>
  <c r="A55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T53" i="33"/>
  <c r="R53" i="33"/>
  <c r="H53" i="33"/>
  <c r="A53" i="33"/>
  <c r="AQ51" i="33"/>
  <c r="AP51" i="33"/>
  <c r="AO51" i="33"/>
  <c r="AN51" i="33"/>
  <c r="AM51" i="33"/>
  <c r="AL51" i="33"/>
  <c r="AK51" i="33"/>
  <c r="AJ51" i="33"/>
  <c r="AI51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T51" i="33"/>
  <c r="R51" i="33"/>
  <c r="H51" i="33"/>
  <c r="A51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T49" i="33"/>
  <c r="R49" i="33"/>
  <c r="H49" i="33"/>
  <c r="A49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T47" i="33"/>
  <c r="R47" i="33"/>
  <c r="H47" i="33"/>
  <c r="A47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T45" i="33"/>
  <c r="R45" i="33"/>
  <c r="H45" i="33"/>
  <c r="A45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T43" i="33"/>
  <c r="H43" i="33"/>
  <c r="A43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T41" i="33"/>
  <c r="H41" i="33"/>
  <c r="A41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T39" i="33"/>
  <c r="H39" i="33"/>
  <c r="A39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T37" i="33"/>
  <c r="H37" i="33"/>
  <c r="A37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T35" i="33"/>
  <c r="H35" i="33"/>
  <c r="A35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T33" i="33"/>
  <c r="R33" i="33"/>
  <c r="H33" i="33"/>
  <c r="A33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T31" i="33"/>
  <c r="H31" i="33"/>
  <c r="A31" i="33"/>
  <c r="B99" i="32"/>
  <c r="P91" i="32"/>
  <c r="T86" i="32" s="1"/>
  <c r="T87" i="32" s="1"/>
  <c r="B210" i="12" s="1"/>
  <c r="P90" i="32"/>
  <c r="T89" i="32"/>
  <c r="T90" i="32" s="1"/>
  <c r="U90" i="32" s="1"/>
  <c r="P89" i="32"/>
  <c r="B204" i="12" s="1"/>
  <c r="F84" i="32"/>
  <c r="E84" i="32"/>
  <c r="C84" i="32"/>
  <c r="AQ81" i="32"/>
  <c r="AP81" i="32"/>
  <c r="AO81" i="32"/>
  <c r="AN81" i="32"/>
  <c r="AM81" i="32"/>
  <c r="AL81" i="32"/>
  <c r="AK81" i="32"/>
  <c r="AJ81" i="32"/>
  <c r="AI81" i="32"/>
  <c r="AH81" i="32"/>
  <c r="AG81" i="32"/>
  <c r="AF81" i="32"/>
  <c r="AE81" i="32"/>
  <c r="AD81" i="32"/>
  <c r="AC81" i="32"/>
  <c r="AB81" i="32"/>
  <c r="AA81" i="32"/>
  <c r="Z81" i="32"/>
  <c r="Y81" i="32"/>
  <c r="X81" i="32"/>
  <c r="W81" i="32"/>
  <c r="T81" i="32"/>
  <c r="P81" i="32"/>
  <c r="A81" i="32"/>
  <c r="AQ79" i="32"/>
  <c r="AP79" i="32"/>
  <c r="AO79" i="32"/>
  <c r="AN79" i="32"/>
  <c r="AM79" i="32"/>
  <c r="AL79" i="32"/>
  <c r="AK79" i="32"/>
  <c r="AJ79" i="32"/>
  <c r="AI79" i="32"/>
  <c r="AH79" i="32"/>
  <c r="AG79" i="32"/>
  <c r="AF79" i="32"/>
  <c r="AE79" i="32"/>
  <c r="AD79" i="32"/>
  <c r="AC79" i="32"/>
  <c r="AB79" i="32"/>
  <c r="AA79" i="32"/>
  <c r="Z79" i="32"/>
  <c r="Y79" i="32"/>
  <c r="X79" i="32"/>
  <c r="W79" i="32"/>
  <c r="T79" i="32"/>
  <c r="P79" i="32"/>
  <c r="A79" i="32"/>
  <c r="AQ77" i="32"/>
  <c r="AP77" i="32"/>
  <c r="AO77" i="32"/>
  <c r="AN77" i="32"/>
  <c r="AM77" i="32"/>
  <c r="AL77" i="32"/>
  <c r="AK77" i="32"/>
  <c r="AJ77" i="32"/>
  <c r="AI77" i="32"/>
  <c r="AH77" i="32"/>
  <c r="AG77" i="32"/>
  <c r="AF77" i="32"/>
  <c r="AE77" i="32"/>
  <c r="AD77" i="32"/>
  <c r="AC77" i="32"/>
  <c r="AB77" i="32"/>
  <c r="AA77" i="32"/>
  <c r="Z77" i="32"/>
  <c r="Y77" i="32"/>
  <c r="X77" i="32"/>
  <c r="W77" i="32"/>
  <c r="T77" i="32"/>
  <c r="P77" i="32"/>
  <c r="A77" i="32"/>
  <c r="AQ75" i="32"/>
  <c r="AP75" i="32"/>
  <c r="AO75" i="32"/>
  <c r="AN75" i="32"/>
  <c r="AM75" i="32"/>
  <c r="AL75" i="32"/>
  <c r="AK75" i="32"/>
  <c r="AJ75" i="32"/>
  <c r="AI75" i="32"/>
  <c r="AH75" i="32"/>
  <c r="AG75" i="32"/>
  <c r="AF75" i="32"/>
  <c r="AE75" i="32"/>
  <c r="AD75" i="32"/>
  <c r="AC75" i="32"/>
  <c r="AB75" i="32"/>
  <c r="AA75" i="32"/>
  <c r="Z75" i="32"/>
  <c r="Y75" i="32"/>
  <c r="X75" i="32"/>
  <c r="W75" i="32"/>
  <c r="T75" i="32"/>
  <c r="P75" i="32"/>
  <c r="A75" i="32"/>
  <c r="AQ73" i="32"/>
  <c r="AP73" i="32"/>
  <c r="AO73" i="32"/>
  <c r="AN73" i="32"/>
  <c r="AM73" i="32"/>
  <c r="AL73" i="32"/>
  <c r="AK73" i="32"/>
  <c r="AJ73" i="32"/>
  <c r="AI73" i="32"/>
  <c r="AH73" i="32"/>
  <c r="AG73" i="32"/>
  <c r="AF73" i="32"/>
  <c r="AE73" i="32"/>
  <c r="AD73" i="32"/>
  <c r="AC73" i="32"/>
  <c r="AB73" i="32"/>
  <c r="AA73" i="32"/>
  <c r="Z73" i="32"/>
  <c r="Y73" i="32"/>
  <c r="X73" i="32"/>
  <c r="W73" i="32"/>
  <c r="T73" i="32"/>
  <c r="P73" i="32"/>
  <c r="A73" i="32"/>
  <c r="AQ71" i="32"/>
  <c r="AP71" i="32"/>
  <c r="AO71" i="32"/>
  <c r="AN71" i="32"/>
  <c r="AM71" i="32"/>
  <c r="AL71" i="32"/>
  <c r="AK71" i="32"/>
  <c r="AJ71" i="32"/>
  <c r="AI71" i="32"/>
  <c r="AH71" i="32"/>
  <c r="AG71" i="32"/>
  <c r="AF71" i="32"/>
  <c r="AE71" i="32"/>
  <c r="AD71" i="32"/>
  <c r="AC71" i="32"/>
  <c r="AB71" i="32"/>
  <c r="AA71" i="32"/>
  <c r="Z71" i="32"/>
  <c r="Y71" i="32"/>
  <c r="X71" i="32"/>
  <c r="W71" i="32"/>
  <c r="T71" i="32"/>
  <c r="H71" i="32"/>
  <c r="A71" i="32"/>
  <c r="AQ69" i="32"/>
  <c r="AP69" i="32"/>
  <c r="AO69" i="32"/>
  <c r="AN69" i="32"/>
  <c r="AM69" i="32"/>
  <c r="AL69" i="32"/>
  <c r="AK69" i="32"/>
  <c r="AJ69" i="32"/>
  <c r="AI69" i="32"/>
  <c r="AH69" i="32"/>
  <c r="AG69" i="32"/>
  <c r="AF69" i="32"/>
  <c r="AE69" i="32"/>
  <c r="AD69" i="32"/>
  <c r="AC69" i="32"/>
  <c r="AB69" i="32"/>
  <c r="AA69" i="32"/>
  <c r="Z69" i="32"/>
  <c r="Y69" i="32"/>
  <c r="X69" i="32"/>
  <c r="W69" i="32"/>
  <c r="T69" i="32"/>
  <c r="R69" i="32"/>
  <c r="H69" i="32"/>
  <c r="A69" i="32"/>
  <c r="AQ67" i="32"/>
  <c r="AP67" i="32"/>
  <c r="AO67" i="32"/>
  <c r="AN67" i="32"/>
  <c r="AM67" i="32"/>
  <c r="AL67" i="32"/>
  <c r="AK67" i="32"/>
  <c r="AJ67" i="32"/>
  <c r="AI67" i="32"/>
  <c r="AH67" i="32"/>
  <c r="AG67" i="32"/>
  <c r="AF67" i="32"/>
  <c r="AE67" i="32"/>
  <c r="AD67" i="32"/>
  <c r="AC67" i="32"/>
  <c r="AB67" i="32"/>
  <c r="AA67" i="32"/>
  <c r="Z67" i="32"/>
  <c r="Y67" i="32"/>
  <c r="X67" i="32"/>
  <c r="W67" i="32"/>
  <c r="T67" i="32"/>
  <c r="R67" i="32"/>
  <c r="H67" i="32"/>
  <c r="A67" i="32"/>
  <c r="AQ65" i="32"/>
  <c r="AP65" i="32"/>
  <c r="AO65" i="32"/>
  <c r="AN65" i="32"/>
  <c r="AM65" i="32"/>
  <c r="AL65" i="32"/>
  <c r="AK65" i="32"/>
  <c r="AJ65" i="32"/>
  <c r="AI65" i="32"/>
  <c r="AH65" i="32"/>
  <c r="AG65" i="32"/>
  <c r="AF65" i="32"/>
  <c r="AE65" i="32"/>
  <c r="AD65" i="32"/>
  <c r="AC65" i="32"/>
  <c r="AB65" i="32"/>
  <c r="AA65" i="32"/>
  <c r="Z65" i="32"/>
  <c r="Y65" i="32"/>
  <c r="X65" i="32"/>
  <c r="W65" i="32"/>
  <c r="T65" i="32"/>
  <c r="H65" i="32"/>
  <c r="A65" i="32"/>
  <c r="AQ63" i="32"/>
  <c r="AP63" i="32"/>
  <c r="AO63" i="32"/>
  <c r="AN63" i="32"/>
  <c r="AM63" i="32"/>
  <c r="AL63" i="32"/>
  <c r="AK63" i="32"/>
  <c r="AJ63" i="32"/>
  <c r="AI63" i="32"/>
  <c r="AH63" i="32"/>
  <c r="AG63" i="32"/>
  <c r="AF63" i="32"/>
  <c r="AE63" i="32"/>
  <c r="AD63" i="32"/>
  <c r="AC63" i="32"/>
  <c r="AB63" i="32"/>
  <c r="AA63" i="32"/>
  <c r="Z63" i="32"/>
  <c r="Y63" i="32"/>
  <c r="X63" i="32"/>
  <c r="W63" i="32"/>
  <c r="T63" i="32"/>
  <c r="H63" i="32"/>
  <c r="A63" i="32"/>
  <c r="AQ61" i="32"/>
  <c r="AP61" i="32"/>
  <c r="AO61" i="32"/>
  <c r="AN61" i="32"/>
  <c r="AM61" i="32"/>
  <c r="AL61" i="32"/>
  <c r="AK61" i="32"/>
  <c r="AJ61" i="32"/>
  <c r="AI61" i="32"/>
  <c r="AH61" i="32"/>
  <c r="AG61" i="32"/>
  <c r="AF61" i="32"/>
  <c r="AE61" i="32"/>
  <c r="AD61" i="32"/>
  <c r="AC61" i="32"/>
  <c r="AB61" i="32"/>
  <c r="AA61" i="32"/>
  <c r="Z61" i="32"/>
  <c r="Y61" i="32"/>
  <c r="X61" i="32"/>
  <c r="W61" i="32"/>
  <c r="T61" i="32"/>
  <c r="R61" i="32"/>
  <c r="H61" i="32"/>
  <c r="A61" i="32"/>
  <c r="AQ59" i="32"/>
  <c r="AP59" i="32"/>
  <c r="AO59" i="32"/>
  <c r="AN59" i="32"/>
  <c r="AM59" i="32"/>
  <c r="AL59" i="32"/>
  <c r="AK59" i="32"/>
  <c r="AJ59" i="32"/>
  <c r="AI59" i="32"/>
  <c r="AH59" i="32"/>
  <c r="AG59" i="32"/>
  <c r="AF59" i="32"/>
  <c r="AE59" i="32"/>
  <c r="AD59" i="32"/>
  <c r="AC59" i="32"/>
  <c r="AB59" i="32"/>
  <c r="AA59" i="32"/>
  <c r="Z59" i="32"/>
  <c r="Y59" i="32"/>
  <c r="X59" i="32"/>
  <c r="W59" i="32"/>
  <c r="T59" i="32"/>
  <c r="R59" i="32"/>
  <c r="H59" i="32"/>
  <c r="A59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H57" i="32"/>
  <c r="A57" i="32"/>
  <c r="AQ55" i="32"/>
  <c r="AP55" i="32"/>
  <c r="AO55" i="32"/>
  <c r="AN55" i="32"/>
  <c r="AM55" i="32"/>
  <c r="AL55" i="32"/>
  <c r="AK55" i="32"/>
  <c r="AJ55" i="32"/>
  <c r="AI55" i="32"/>
  <c r="AH55" i="32"/>
  <c r="AG55" i="32"/>
  <c r="AF55" i="32"/>
  <c r="AE55" i="32"/>
  <c r="AD55" i="32"/>
  <c r="AC55" i="32"/>
  <c r="AB55" i="32"/>
  <c r="AA55" i="32"/>
  <c r="Z55" i="32"/>
  <c r="Y55" i="32"/>
  <c r="X55" i="32"/>
  <c r="W55" i="32"/>
  <c r="T55" i="32"/>
  <c r="H55" i="32"/>
  <c r="A55" i="32"/>
  <c r="AQ53" i="32"/>
  <c r="AP53" i="32"/>
  <c r="AO53" i="32"/>
  <c r="AN53" i="32"/>
  <c r="AM53" i="32"/>
  <c r="AL53" i="32"/>
  <c r="AK53" i="32"/>
  <c r="AJ53" i="32"/>
  <c r="AI53" i="32"/>
  <c r="AH53" i="32"/>
  <c r="AG53" i="32"/>
  <c r="AF53" i="32"/>
  <c r="AE53" i="32"/>
  <c r="AD53" i="32"/>
  <c r="AC53" i="32"/>
  <c r="AB53" i="32"/>
  <c r="AA53" i="32"/>
  <c r="Z53" i="32"/>
  <c r="Y53" i="32"/>
  <c r="X53" i="32"/>
  <c r="W53" i="32"/>
  <c r="T53" i="32"/>
  <c r="R53" i="32"/>
  <c r="H53" i="32"/>
  <c r="A53" i="32"/>
  <c r="AQ51" i="32"/>
  <c r="AP51" i="32"/>
  <c r="AO51" i="32"/>
  <c r="AN51" i="32"/>
  <c r="AM51" i="32"/>
  <c r="AL51" i="32"/>
  <c r="AK51" i="32"/>
  <c r="AJ51" i="32"/>
  <c r="AI51" i="32"/>
  <c r="AH51" i="32"/>
  <c r="AG51" i="32"/>
  <c r="AF51" i="32"/>
  <c r="AE51" i="32"/>
  <c r="AD51" i="32"/>
  <c r="AC51" i="32"/>
  <c r="AB51" i="32"/>
  <c r="AA51" i="32"/>
  <c r="Z51" i="32"/>
  <c r="Y51" i="32"/>
  <c r="X51" i="32"/>
  <c r="W51" i="32"/>
  <c r="T51" i="32"/>
  <c r="R51" i="32"/>
  <c r="H51" i="32"/>
  <c r="A51" i="32"/>
  <c r="AQ49" i="32"/>
  <c r="AP49" i="32"/>
  <c r="AO49" i="32"/>
  <c r="AN49" i="32"/>
  <c r="AM49" i="32"/>
  <c r="AL49" i="32"/>
  <c r="AK49" i="32"/>
  <c r="AJ49" i="32"/>
  <c r="AI49" i="32"/>
  <c r="AH49" i="32"/>
  <c r="AG49" i="32"/>
  <c r="AF49" i="32"/>
  <c r="AE49" i="32"/>
  <c r="AD49" i="32"/>
  <c r="AC49" i="32"/>
  <c r="AB49" i="32"/>
  <c r="AA49" i="32"/>
  <c r="Z49" i="32"/>
  <c r="Y49" i="32"/>
  <c r="X49" i="32"/>
  <c r="W49" i="32"/>
  <c r="T49" i="32"/>
  <c r="R49" i="32"/>
  <c r="H49" i="32"/>
  <c r="A49" i="32"/>
  <c r="AQ47" i="32"/>
  <c r="AP47" i="32"/>
  <c r="AO47" i="32"/>
  <c r="AN47" i="32"/>
  <c r="AM47" i="32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T47" i="32"/>
  <c r="R47" i="32"/>
  <c r="H47" i="32"/>
  <c r="A47" i="32"/>
  <c r="AQ45" i="32"/>
  <c r="AP45" i="32"/>
  <c r="AO45" i="32"/>
  <c r="AN45" i="32"/>
  <c r="AM45" i="32"/>
  <c r="AL45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T45" i="32"/>
  <c r="R45" i="32"/>
  <c r="H45" i="32"/>
  <c r="A45" i="32"/>
  <c r="AQ43" i="32"/>
  <c r="AP43" i="32"/>
  <c r="AO43" i="32"/>
  <c r="AN43" i="32"/>
  <c r="AM43" i="32"/>
  <c r="AL43" i="32"/>
  <c r="AK43" i="32"/>
  <c r="AJ43" i="32"/>
  <c r="AI43" i="32"/>
  <c r="AH43" i="32"/>
  <c r="AG43" i="32"/>
  <c r="AF43" i="32"/>
  <c r="AE43" i="32"/>
  <c r="AD43" i="32"/>
  <c r="AC43" i="32"/>
  <c r="AB43" i="32"/>
  <c r="AA43" i="32"/>
  <c r="Z43" i="32"/>
  <c r="Y43" i="32"/>
  <c r="X43" i="32"/>
  <c r="W43" i="32"/>
  <c r="T43" i="32"/>
  <c r="H43" i="32"/>
  <c r="A43" i="32"/>
  <c r="AQ41" i="32"/>
  <c r="AP41" i="32"/>
  <c r="AO41" i="32"/>
  <c r="AN41" i="32"/>
  <c r="AM41" i="32"/>
  <c r="AL41" i="32"/>
  <c r="AK41" i="32"/>
  <c r="AJ41" i="32"/>
  <c r="AI41" i="32"/>
  <c r="AH41" i="32"/>
  <c r="AG41" i="32"/>
  <c r="AF41" i="32"/>
  <c r="AE41" i="32"/>
  <c r="AD41" i="32"/>
  <c r="AC41" i="32"/>
  <c r="AB41" i="32"/>
  <c r="AA41" i="32"/>
  <c r="Z41" i="32"/>
  <c r="Y41" i="32"/>
  <c r="X41" i="32"/>
  <c r="W41" i="32"/>
  <c r="T41" i="32"/>
  <c r="H41" i="32"/>
  <c r="A41" i="32"/>
  <c r="AQ39" i="32"/>
  <c r="AP39" i="32"/>
  <c r="AO39" i="32"/>
  <c r="AN39" i="32"/>
  <c r="AM39" i="32"/>
  <c r="AL39" i="32"/>
  <c r="AK39" i="32"/>
  <c r="AJ39" i="32"/>
  <c r="AI39" i="32"/>
  <c r="AH39" i="32"/>
  <c r="AG39" i="32"/>
  <c r="AF39" i="32"/>
  <c r="AE39" i="32"/>
  <c r="AD39" i="32"/>
  <c r="AC39" i="32"/>
  <c r="AB39" i="32"/>
  <c r="AA39" i="32"/>
  <c r="Z39" i="32"/>
  <c r="Y39" i="32"/>
  <c r="X39" i="32"/>
  <c r="W39" i="32"/>
  <c r="T39" i="32"/>
  <c r="H39" i="32"/>
  <c r="A39" i="32"/>
  <c r="AQ37" i="32"/>
  <c r="AP37" i="32"/>
  <c r="AO37" i="32"/>
  <c r="AN37" i="32"/>
  <c r="AM37" i="32"/>
  <c r="AL37" i="32"/>
  <c r="AK37" i="32"/>
  <c r="AJ37" i="32"/>
  <c r="AI37" i="32"/>
  <c r="AH37" i="32"/>
  <c r="AG37" i="32"/>
  <c r="AF37" i="32"/>
  <c r="AE37" i="32"/>
  <c r="AD37" i="32"/>
  <c r="AC37" i="32"/>
  <c r="AB37" i="32"/>
  <c r="AA37" i="32"/>
  <c r="Z37" i="32"/>
  <c r="Y37" i="32"/>
  <c r="X37" i="32"/>
  <c r="W37" i="32"/>
  <c r="T37" i="32"/>
  <c r="H37" i="32"/>
  <c r="A37" i="32"/>
  <c r="AQ35" i="32"/>
  <c r="AP35" i="32"/>
  <c r="AO35" i="32"/>
  <c r="AN35" i="32"/>
  <c r="AM35" i="32"/>
  <c r="AL35" i="32"/>
  <c r="AK35" i="32"/>
  <c r="AJ35" i="32"/>
  <c r="AI35" i="32"/>
  <c r="AH35" i="32"/>
  <c r="AG35" i="32"/>
  <c r="AF35" i="32"/>
  <c r="AE35" i="32"/>
  <c r="AD35" i="32"/>
  <c r="AC35" i="32"/>
  <c r="AB35" i="32"/>
  <c r="AA35" i="32"/>
  <c r="Z35" i="32"/>
  <c r="Y35" i="32"/>
  <c r="X35" i="32"/>
  <c r="W35" i="32"/>
  <c r="T35" i="32"/>
  <c r="H35" i="32"/>
  <c r="A35" i="32"/>
  <c r="AQ33" i="32"/>
  <c r="AP33" i="32"/>
  <c r="AO33" i="32"/>
  <c r="AN33" i="32"/>
  <c r="AM33" i="32"/>
  <c r="AL33" i="32"/>
  <c r="AK33" i="32"/>
  <c r="AJ33" i="32"/>
  <c r="AI33" i="32"/>
  <c r="AH33" i="32"/>
  <c r="AG33" i="32"/>
  <c r="AF33" i="32"/>
  <c r="AE33" i="32"/>
  <c r="AD33" i="32"/>
  <c r="AC33" i="32"/>
  <c r="AB33" i="32"/>
  <c r="AA33" i="32"/>
  <c r="Z33" i="32"/>
  <c r="Y33" i="32"/>
  <c r="X33" i="32"/>
  <c r="W33" i="32"/>
  <c r="T33" i="32"/>
  <c r="R33" i="32"/>
  <c r="H33" i="32"/>
  <c r="A33" i="32"/>
  <c r="AQ31" i="32"/>
  <c r="AP31" i="32"/>
  <c r="AO31" i="32"/>
  <c r="AN31" i="32"/>
  <c r="AM31" i="32"/>
  <c r="AL31" i="32"/>
  <c r="AK31" i="32"/>
  <c r="AJ31" i="32"/>
  <c r="AI31" i="32"/>
  <c r="AH31" i="32"/>
  <c r="AG31" i="32"/>
  <c r="AF31" i="32"/>
  <c r="AE31" i="32"/>
  <c r="AD31" i="32"/>
  <c r="AC31" i="32"/>
  <c r="AB31" i="32"/>
  <c r="AA31" i="32"/>
  <c r="Z31" i="32"/>
  <c r="Y31" i="32"/>
  <c r="X31" i="32"/>
  <c r="W31" i="32"/>
  <c r="T31" i="32"/>
  <c r="H31" i="32"/>
  <c r="A31" i="32"/>
  <c r="G25" i="32"/>
  <c r="G26" i="32" s="1"/>
  <c r="C19" i="32"/>
  <c r="G16" i="32" s="1"/>
  <c r="B19" i="32"/>
  <c r="F16" i="32" s="1"/>
  <c r="G14" i="32"/>
  <c r="B10" i="32"/>
  <c r="B99" i="31"/>
  <c r="P91" i="31"/>
  <c r="T86" i="31" s="1"/>
  <c r="T87" i="31" s="1"/>
  <c r="B189" i="12" s="1"/>
  <c r="P90" i="31"/>
  <c r="B184" i="12" s="1"/>
  <c r="T89" i="31"/>
  <c r="T90" i="31" s="1"/>
  <c r="U90" i="31" s="1"/>
  <c r="P89" i="31"/>
  <c r="B183" i="12" s="1"/>
  <c r="F84" i="31"/>
  <c r="E84" i="31"/>
  <c r="C84" i="31"/>
  <c r="AQ81" i="31"/>
  <c r="AP81" i="31"/>
  <c r="AO81" i="31"/>
  <c r="AN81" i="31"/>
  <c r="AM81" i="31"/>
  <c r="AL81" i="31"/>
  <c r="AK81" i="31"/>
  <c r="AJ81" i="31"/>
  <c r="AI81" i="31"/>
  <c r="AH81" i="31"/>
  <c r="AG81" i="31"/>
  <c r="AF81" i="31"/>
  <c r="AE81" i="31"/>
  <c r="AD81" i="31"/>
  <c r="AC81" i="31"/>
  <c r="AB81" i="31"/>
  <c r="AA81" i="31"/>
  <c r="Z81" i="31"/>
  <c r="Y81" i="31"/>
  <c r="X81" i="31"/>
  <c r="W81" i="31"/>
  <c r="T81" i="31"/>
  <c r="P81" i="31"/>
  <c r="A81" i="31"/>
  <c r="AQ79" i="31"/>
  <c r="AP79" i="31"/>
  <c r="AO79" i="31"/>
  <c r="AN79" i="31"/>
  <c r="AM79" i="31"/>
  <c r="AL79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T79" i="31"/>
  <c r="P79" i="31"/>
  <c r="A79" i="31"/>
  <c r="AQ77" i="31"/>
  <c r="AP77" i="31"/>
  <c r="AO77" i="31"/>
  <c r="AN77" i="31"/>
  <c r="AM77" i="31"/>
  <c r="AL77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T77" i="31"/>
  <c r="P77" i="31"/>
  <c r="A77" i="31"/>
  <c r="AQ75" i="31"/>
  <c r="AP75" i="31"/>
  <c r="AO75" i="31"/>
  <c r="AN75" i="31"/>
  <c r="AM75" i="31"/>
  <c r="AL75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T75" i="31"/>
  <c r="P75" i="31"/>
  <c r="A75" i="31"/>
  <c r="AQ73" i="31"/>
  <c r="AP73" i="31"/>
  <c r="AO73" i="31"/>
  <c r="AN73" i="31"/>
  <c r="AM73" i="31"/>
  <c r="AL73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T73" i="31"/>
  <c r="P73" i="31"/>
  <c r="A73" i="31"/>
  <c r="AQ71" i="31"/>
  <c r="AP71" i="31"/>
  <c r="AO71" i="31"/>
  <c r="AN71" i="31"/>
  <c r="AM71" i="31"/>
  <c r="AL71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T71" i="31"/>
  <c r="H71" i="31"/>
  <c r="A71" i="31"/>
  <c r="AQ69" i="31"/>
  <c r="AP69" i="31"/>
  <c r="AO69" i="31"/>
  <c r="AN69" i="31"/>
  <c r="AM69" i="31"/>
  <c r="AL69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T69" i="31"/>
  <c r="R69" i="31"/>
  <c r="H69" i="31"/>
  <c r="A69" i="31"/>
  <c r="AQ67" i="31"/>
  <c r="AP67" i="31"/>
  <c r="AO67" i="31"/>
  <c r="AN67" i="31"/>
  <c r="AM67" i="31"/>
  <c r="AL67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T67" i="31"/>
  <c r="R67" i="31"/>
  <c r="H67" i="31"/>
  <c r="A67" i="31"/>
  <c r="AQ65" i="31"/>
  <c r="AP65" i="31"/>
  <c r="AO65" i="31"/>
  <c r="AN65" i="31"/>
  <c r="AM65" i="31"/>
  <c r="AL65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T65" i="31"/>
  <c r="H65" i="31"/>
  <c r="A65" i="31"/>
  <c r="AQ63" i="31"/>
  <c r="AP63" i="31"/>
  <c r="AO63" i="31"/>
  <c r="AN63" i="31"/>
  <c r="AM63" i="31"/>
  <c r="AL63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T63" i="31"/>
  <c r="H63" i="31"/>
  <c r="A63" i="31"/>
  <c r="AQ61" i="31"/>
  <c r="AP61" i="31"/>
  <c r="AO61" i="31"/>
  <c r="AN61" i="31"/>
  <c r="AM61" i="31"/>
  <c r="AL61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T61" i="31"/>
  <c r="R61" i="31"/>
  <c r="H61" i="31"/>
  <c r="A61" i="31"/>
  <c r="AQ59" i="31"/>
  <c r="AP59" i="31"/>
  <c r="AO59" i="31"/>
  <c r="AN59" i="31"/>
  <c r="AM59" i="31"/>
  <c r="AL59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T59" i="31"/>
  <c r="R59" i="31"/>
  <c r="H59" i="31"/>
  <c r="A59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H57" i="31"/>
  <c r="A57" i="31"/>
  <c r="AQ55" i="31"/>
  <c r="AP55" i="31"/>
  <c r="AO55" i="31"/>
  <c r="AN55" i="31"/>
  <c r="AM55" i="31"/>
  <c r="AL55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T55" i="31"/>
  <c r="H55" i="31"/>
  <c r="A55" i="31"/>
  <c r="AQ53" i="31"/>
  <c r="AP53" i="31"/>
  <c r="AO53" i="31"/>
  <c r="AN53" i="31"/>
  <c r="AM53" i="31"/>
  <c r="AL53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T53" i="31"/>
  <c r="R53" i="31"/>
  <c r="H53" i="31"/>
  <c r="A53" i="31"/>
  <c r="AQ51" i="31"/>
  <c r="AP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T51" i="31"/>
  <c r="R51" i="31"/>
  <c r="H51" i="31"/>
  <c r="A51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T49" i="31"/>
  <c r="R49" i="31"/>
  <c r="H49" i="31"/>
  <c r="A49" i="31"/>
  <c r="AQ47" i="31"/>
  <c r="AP47" i="31"/>
  <c r="AO47" i="31"/>
  <c r="AN47" i="31"/>
  <c r="AM47" i="31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T47" i="31"/>
  <c r="R47" i="31"/>
  <c r="H47" i="31"/>
  <c r="A47" i="31"/>
  <c r="AQ45" i="31"/>
  <c r="AP45" i="31"/>
  <c r="AO45" i="31"/>
  <c r="AN45" i="31"/>
  <c r="AM45" i="31"/>
  <c r="AL45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T45" i="31"/>
  <c r="R45" i="31"/>
  <c r="H45" i="31"/>
  <c r="A45" i="31"/>
  <c r="AQ43" i="31"/>
  <c r="AP43" i="31"/>
  <c r="AO43" i="31"/>
  <c r="AN43" i="31"/>
  <c r="AM43" i="31"/>
  <c r="AL43" i="31"/>
  <c r="AK43" i="31"/>
  <c r="AJ43" i="31"/>
  <c r="AI43" i="31"/>
  <c r="AH43" i="31"/>
  <c r="AG43" i="31"/>
  <c r="AF43" i="31"/>
  <c r="AE43" i="31"/>
  <c r="AD43" i="31"/>
  <c r="AC43" i="31"/>
  <c r="AB43" i="31"/>
  <c r="AA43" i="31"/>
  <c r="Z43" i="31"/>
  <c r="Y43" i="31"/>
  <c r="X43" i="31"/>
  <c r="W43" i="31"/>
  <c r="T43" i="31"/>
  <c r="H43" i="31"/>
  <c r="A43" i="31"/>
  <c r="AQ41" i="31"/>
  <c r="AP41" i="31"/>
  <c r="AO41" i="31"/>
  <c r="AN41" i="31"/>
  <c r="AM41" i="31"/>
  <c r="AL41" i="31"/>
  <c r="AK41" i="31"/>
  <c r="AJ41" i="31"/>
  <c r="AI41" i="31"/>
  <c r="AH41" i="31"/>
  <c r="AG41" i="31"/>
  <c r="AF41" i="31"/>
  <c r="AE41" i="31"/>
  <c r="AD41" i="31"/>
  <c r="AC41" i="31"/>
  <c r="AB41" i="31"/>
  <c r="AA41" i="31"/>
  <c r="Z41" i="31"/>
  <c r="Y41" i="31"/>
  <c r="X41" i="31"/>
  <c r="W41" i="31"/>
  <c r="T41" i="31"/>
  <c r="H41" i="31"/>
  <c r="A41" i="31"/>
  <c r="AQ39" i="31"/>
  <c r="AP39" i="31"/>
  <c r="AO39" i="31"/>
  <c r="AN39" i="31"/>
  <c r="AM39" i="31"/>
  <c r="AL39" i="31"/>
  <c r="AK39" i="31"/>
  <c r="AJ39" i="31"/>
  <c r="AI39" i="31"/>
  <c r="AH39" i="31"/>
  <c r="AG39" i="31"/>
  <c r="AF39" i="31"/>
  <c r="AE39" i="31"/>
  <c r="AD39" i="31"/>
  <c r="AC39" i="31"/>
  <c r="AB39" i="31"/>
  <c r="AA39" i="31"/>
  <c r="Z39" i="31"/>
  <c r="Y39" i="31"/>
  <c r="X39" i="31"/>
  <c r="W39" i="31"/>
  <c r="T39" i="31"/>
  <c r="H39" i="31"/>
  <c r="A39" i="31"/>
  <c r="AQ37" i="31"/>
  <c r="AP37" i="31"/>
  <c r="AO37" i="31"/>
  <c r="AN37" i="31"/>
  <c r="AM37" i="31"/>
  <c r="AL37" i="31"/>
  <c r="AK37" i="31"/>
  <c r="AJ37" i="31"/>
  <c r="AI37" i="31"/>
  <c r="AH37" i="31"/>
  <c r="AG37" i="31"/>
  <c r="AF37" i="31"/>
  <c r="AE37" i="31"/>
  <c r="AD37" i="31"/>
  <c r="AC37" i="31"/>
  <c r="AB37" i="31"/>
  <c r="AA37" i="31"/>
  <c r="Z37" i="31"/>
  <c r="Y37" i="31"/>
  <c r="X37" i="31"/>
  <c r="W37" i="31"/>
  <c r="T37" i="31"/>
  <c r="H37" i="31"/>
  <c r="A37" i="31"/>
  <c r="AQ35" i="31"/>
  <c r="AP35" i="31"/>
  <c r="AO35" i="31"/>
  <c r="AN35" i="31"/>
  <c r="AM35" i="31"/>
  <c r="AL35" i="31"/>
  <c r="AK35" i="31"/>
  <c r="AJ35" i="31"/>
  <c r="AI35" i="31"/>
  <c r="AH35" i="31"/>
  <c r="AG35" i="31"/>
  <c r="AF35" i="31"/>
  <c r="AE35" i="31"/>
  <c r="AD35" i="31"/>
  <c r="AC35" i="31"/>
  <c r="AB35" i="31"/>
  <c r="AA35" i="31"/>
  <c r="Z35" i="31"/>
  <c r="Y35" i="31"/>
  <c r="X35" i="31"/>
  <c r="W35" i="31"/>
  <c r="T35" i="31"/>
  <c r="H35" i="31"/>
  <c r="A35" i="31"/>
  <c r="AQ33" i="31"/>
  <c r="AP33" i="31"/>
  <c r="AO33" i="31"/>
  <c r="AN33" i="31"/>
  <c r="AM33" i="31"/>
  <c r="AL33" i="31"/>
  <c r="AK33" i="31"/>
  <c r="AJ33" i="31"/>
  <c r="AI33" i="31"/>
  <c r="AH33" i="31"/>
  <c r="AG33" i="31"/>
  <c r="AF33" i="31"/>
  <c r="AE33" i="31"/>
  <c r="AD33" i="31"/>
  <c r="AC33" i="31"/>
  <c r="AB33" i="31"/>
  <c r="AA33" i="31"/>
  <c r="Z33" i="31"/>
  <c r="Y33" i="31"/>
  <c r="X33" i="31"/>
  <c r="W33" i="31"/>
  <c r="T33" i="31"/>
  <c r="R33" i="31"/>
  <c r="H33" i="31"/>
  <c r="A33" i="31"/>
  <c r="AQ31" i="31"/>
  <c r="AP31" i="31"/>
  <c r="AO31" i="31"/>
  <c r="AN31" i="31"/>
  <c r="AM31" i="31"/>
  <c r="AL31" i="31"/>
  <c r="AK31" i="31"/>
  <c r="AJ31" i="31"/>
  <c r="AI31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T31" i="31"/>
  <c r="H31" i="31"/>
  <c r="A31" i="31"/>
  <c r="G25" i="31"/>
  <c r="G26" i="31" s="1"/>
  <c r="C19" i="31"/>
  <c r="G16" i="31" s="1"/>
  <c r="B19" i="31"/>
  <c r="F16" i="31" s="1"/>
  <c r="B10" i="31"/>
  <c r="B99" i="30"/>
  <c r="P91" i="30"/>
  <c r="T86" i="30" s="1"/>
  <c r="T87" i="30" s="1"/>
  <c r="B168" i="12" s="1"/>
  <c r="P90" i="30"/>
  <c r="T89" i="30"/>
  <c r="T90" i="30" s="1"/>
  <c r="U90" i="30" s="1"/>
  <c r="P89" i="30"/>
  <c r="B162" i="12" s="1"/>
  <c r="F84" i="30"/>
  <c r="E84" i="30"/>
  <c r="C84" i="30"/>
  <c r="AQ81" i="30"/>
  <c r="AP81" i="30"/>
  <c r="AO81" i="30"/>
  <c r="AN81" i="30"/>
  <c r="AM81" i="30"/>
  <c r="AL81" i="30"/>
  <c r="AK81" i="30"/>
  <c r="AJ81" i="30"/>
  <c r="AI81" i="30"/>
  <c r="AH81" i="30"/>
  <c r="AG81" i="30"/>
  <c r="AF81" i="30"/>
  <c r="AE81" i="30"/>
  <c r="AD81" i="30"/>
  <c r="AC81" i="30"/>
  <c r="AB81" i="30"/>
  <c r="AA81" i="30"/>
  <c r="Z81" i="30"/>
  <c r="Y81" i="30"/>
  <c r="X81" i="30"/>
  <c r="W81" i="30"/>
  <c r="T81" i="30"/>
  <c r="P81" i="30"/>
  <c r="A81" i="30"/>
  <c r="AQ79" i="30"/>
  <c r="AP79" i="30"/>
  <c r="AO79" i="30"/>
  <c r="AN79" i="30"/>
  <c r="AM79" i="30"/>
  <c r="AL79" i="30"/>
  <c r="AK79" i="30"/>
  <c r="AJ79" i="30"/>
  <c r="AI79" i="30"/>
  <c r="AH79" i="30"/>
  <c r="AG79" i="30"/>
  <c r="AF79" i="30"/>
  <c r="AE79" i="30"/>
  <c r="AD79" i="30"/>
  <c r="AC79" i="30"/>
  <c r="AB79" i="30"/>
  <c r="AA79" i="30"/>
  <c r="Z79" i="30"/>
  <c r="Y79" i="30"/>
  <c r="X79" i="30"/>
  <c r="W79" i="30"/>
  <c r="T79" i="30"/>
  <c r="P79" i="30"/>
  <c r="A79" i="30"/>
  <c r="AQ77" i="30"/>
  <c r="AP77" i="30"/>
  <c r="AO77" i="30"/>
  <c r="AN77" i="30"/>
  <c r="AM77" i="30"/>
  <c r="AL77" i="30"/>
  <c r="AK77" i="30"/>
  <c r="AJ77" i="30"/>
  <c r="AI77" i="30"/>
  <c r="AH77" i="30"/>
  <c r="AG77" i="30"/>
  <c r="AF77" i="30"/>
  <c r="AE77" i="30"/>
  <c r="AD77" i="30"/>
  <c r="AC77" i="30"/>
  <c r="AB77" i="30"/>
  <c r="AA77" i="30"/>
  <c r="Z77" i="30"/>
  <c r="Y77" i="30"/>
  <c r="X77" i="30"/>
  <c r="W77" i="30"/>
  <c r="T77" i="30"/>
  <c r="P77" i="30"/>
  <c r="A77" i="30"/>
  <c r="AQ75" i="30"/>
  <c r="AP75" i="30"/>
  <c r="AO75" i="30"/>
  <c r="AN75" i="30"/>
  <c r="AM75" i="30"/>
  <c r="AL75" i="30"/>
  <c r="AK75" i="30"/>
  <c r="AJ75" i="30"/>
  <c r="AI75" i="30"/>
  <c r="AH75" i="30"/>
  <c r="AG75" i="30"/>
  <c r="AF75" i="30"/>
  <c r="AE75" i="30"/>
  <c r="AD75" i="30"/>
  <c r="AC75" i="30"/>
  <c r="AB75" i="30"/>
  <c r="AA75" i="30"/>
  <c r="Z75" i="30"/>
  <c r="Y75" i="30"/>
  <c r="X75" i="30"/>
  <c r="W75" i="30"/>
  <c r="T75" i="30"/>
  <c r="P75" i="30"/>
  <c r="A75" i="30"/>
  <c r="AQ73" i="30"/>
  <c r="AP73" i="30"/>
  <c r="AO73" i="30"/>
  <c r="AN73" i="30"/>
  <c r="AM73" i="30"/>
  <c r="AL73" i="30"/>
  <c r="AK73" i="30"/>
  <c r="AJ73" i="30"/>
  <c r="AI73" i="30"/>
  <c r="AH73" i="30"/>
  <c r="AG73" i="30"/>
  <c r="AF73" i="30"/>
  <c r="AE73" i="30"/>
  <c r="AD73" i="30"/>
  <c r="AC73" i="30"/>
  <c r="AB73" i="30"/>
  <c r="AA73" i="30"/>
  <c r="Z73" i="30"/>
  <c r="Y73" i="30"/>
  <c r="X73" i="30"/>
  <c r="W73" i="30"/>
  <c r="T73" i="30"/>
  <c r="P73" i="30"/>
  <c r="A73" i="30"/>
  <c r="AQ71" i="30"/>
  <c r="AP71" i="30"/>
  <c r="AO71" i="30"/>
  <c r="AN71" i="30"/>
  <c r="AM71" i="30"/>
  <c r="AL71" i="30"/>
  <c r="AK71" i="30"/>
  <c r="AJ71" i="30"/>
  <c r="AI71" i="30"/>
  <c r="AH71" i="30"/>
  <c r="AG71" i="30"/>
  <c r="AF71" i="30"/>
  <c r="AE71" i="30"/>
  <c r="AD71" i="30"/>
  <c r="AC71" i="30"/>
  <c r="AB71" i="30"/>
  <c r="AA71" i="30"/>
  <c r="Z71" i="30"/>
  <c r="Y71" i="30"/>
  <c r="X71" i="30"/>
  <c r="W71" i="30"/>
  <c r="T71" i="30"/>
  <c r="H71" i="30"/>
  <c r="A71" i="30"/>
  <c r="AQ69" i="30"/>
  <c r="AP69" i="30"/>
  <c r="AO69" i="30"/>
  <c r="AN69" i="30"/>
  <c r="AM69" i="30"/>
  <c r="AL69" i="30"/>
  <c r="AK69" i="30"/>
  <c r="AJ69" i="30"/>
  <c r="AI69" i="30"/>
  <c r="AH69" i="30"/>
  <c r="AG69" i="30"/>
  <c r="AF69" i="30"/>
  <c r="AE69" i="30"/>
  <c r="AD69" i="30"/>
  <c r="AC69" i="30"/>
  <c r="AB69" i="30"/>
  <c r="AA69" i="30"/>
  <c r="Z69" i="30"/>
  <c r="Y69" i="30"/>
  <c r="X69" i="30"/>
  <c r="W69" i="30"/>
  <c r="T69" i="30"/>
  <c r="R69" i="30"/>
  <c r="H69" i="30"/>
  <c r="A69" i="30"/>
  <c r="AQ67" i="30"/>
  <c r="AP67" i="30"/>
  <c r="AO67" i="30"/>
  <c r="AN67" i="30"/>
  <c r="AM67" i="30"/>
  <c r="AL67" i="30"/>
  <c r="AK67" i="30"/>
  <c r="AJ67" i="30"/>
  <c r="AI67" i="30"/>
  <c r="AH67" i="30"/>
  <c r="AG67" i="30"/>
  <c r="AF67" i="30"/>
  <c r="AE67" i="30"/>
  <c r="AD67" i="30"/>
  <c r="AC67" i="30"/>
  <c r="AB67" i="30"/>
  <c r="AA67" i="30"/>
  <c r="Z67" i="30"/>
  <c r="Y67" i="30"/>
  <c r="X67" i="30"/>
  <c r="W67" i="30"/>
  <c r="T67" i="30"/>
  <c r="R67" i="30"/>
  <c r="H67" i="30"/>
  <c r="A67" i="30"/>
  <c r="AQ65" i="30"/>
  <c r="AP65" i="30"/>
  <c r="AO65" i="30"/>
  <c r="AN65" i="30"/>
  <c r="AM65" i="30"/>
  <c r="AL65" i="30"/>
  <c r="AK65" i="30"/>
  <c r="AJ65" i="30"/>
  <c r="AI65" i="30"/>
  <c r="AH65" i="30"/>
  <c r="AG65" i="30"/>
  <c r="AF65" i="30"/>
  <c r="AE65" i="30"/>
  <c r="AD65" i="30"/>
  <c r="AC65" i="30"/>
  <c r="AB65" i="30"/>
  <c r="AA65" i="30"/>
  <c r="Z65" i="30"/>
  <c r="Y65" i="30"/>
  <c r="X65" i="30"/>
  <c r="W65" i="30"/>
  <c r="T65" i="30"/>
  <c r="H65" i="30"/>
  <c r="A65" i="30"/>
  <c r="AQ63" i="30"/>
  <c r="AP63" i="30"/>
  <c r="AO63" i="30"/>
  <c r="AN63" i="30"/>
  <c r="AM63" i="30"/>
  <c r="AL63" i="30"/>
  <c r="AK63" i="30"/>
  <c r="AJ63" i="30"/>
  <c r="AI63" i="30"/>
  <c r="AH63" i="30"/>
  <c r="AG63" i="30"/>
  <c r="AF63" i="30"/>
  <c r="AE63" i="30"/>
  <c r="AD63" i="30"/>
  <c r="AC63" i="30"/>
  <c r="AB63" i="30"/>
  <c r="AA63" i="30"/>
  <c r="Z63" i="30"/>
  <c r="Y63" i="30"/>
  <c r="X63" i="30"/>
  <c r="W63" i="30"/>
  <c r="T63" i="30"/>
  <c r="H63" i="30"/>
  <c r="A63" i="30"/>
  <c r="AQ61" i="30"/>
  <c r="AP61" i="30"/>
  <c r="AO61" i="30"/>
  <c r="AN61" i="30"/>
  <c r="AM61" i="30"/>
  <c r="AL61" i="30"/>
  <c r="AK61" i="30"/>
  <c r="AJ61" i="30"/>
  <c r="AI61" i="30"/>
  <c r="AH61" i="30"/>
  <c r="AG61" i="30"/>
  <c r="AF61" i="30"/>
  <c r="AE61" i="30"/>
  <c r="AD61" i="30"/>
  <c r="AC61" i="30"/>
  <c r="AB61" i="30"/>
  <c r="AA61" i="30"/>
  <c r="Z61" i="30"/>
  <c r="Y61" i="30"/>
  <c r="X61" i="30"/>
  <c r="W61" i="30"/>
  <c r="T61" i="30"/>
  <c r="R61" i="30"/>
  <c r="H61" i="30"/>
  <c r="A61" i="30"/>
  <c r="AQ59" i="30"/>
  <c r="AP59" i="30"/>
  <c r="AO59" i="30"/>
  <c r="AN59" i="30"/>
  <c r="AM59" i="30"/>
  <c r="AL59" i="30"/>
  <c r="AK59" i="30"/>
  <c r="AJ59" i="30"/>
  <c r="AI59" i="30"/>
  <c r="AH59" i="30"/>
  <c r="AG59" i="30"/>
  <c r="AF59" i="30"/>
  <c r="AE59" i="30"/>
  <c r="AD59" i="30"/>
  <c r="AC59" i="30"/>
  <c r="AB59" i="30"/>
  <c r="AA59" i="30"/>
  <c r="Z59" i="30"/>
  <c r="Y59" i="30"/>
  <c r="X59" i="30"/>
  <c r="W59" i="30"/>
  <c r="T59" i="30"/>
  <c r="R59" i="30"/>
  <c r="H59" i="30"/>
  <c r="A59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H57" i="30"/>
  <c r="A57" i="30"/>
  <c r="AQ55" i="30"/>
  <c r="AP55" i="30"/>
  <c r="AO55" i="30"/>
  <c r="AN55" i="30"/>
  <c r="AM55" i="30"/>
  <c r="AL55" i="30"/>
  <c r="AK55" i="30"/>
  <c r="AJ55" i="30"/>
  <c r="AI55" i="30"/>
  <c r="AH55" i="30"/>
  <c r="AG55" i="30"/>
  <c r="AF55" i="30"/>
  <c r="AE55" i="30"/>
  <c r="AD55" i="30"/>
  <c r="AC55" i="30"/>
  <c r="AB55" i="30"/>
  <c r="AA55" i="30"/>
  <c r="Z55" i="30"/>
  <c r="Y55" i="30"/>
  <c r="X55" i="30"/>
  <c r="W55" i="30"/>
  <c r="T55" i="30"/>
  <c r="H55" i="30"/>
  <c r="A55" i="30"/>
  <c r="AQ53" i="30"/>
  <c r="AP53" i="30"/>
  <c r="AO53" i="30"/>
  <c r="AN53" i="30"/>
  <c r="AM53" i="30"/>
  <c r="AL53" i="30"/>
  <c r="AK53" i="30"/>
  <c r="AJ53" i="30"/>
  <c r="AI53" i="30"/>
  <c r="AH53" i="30"/>
  <c r="AG53" i="30"/>
  <c r="AF53" i="30"/>
  <c r="AE53" i="30"/>
  <c r="AD53" i="30"/>
  <c r="AC53" i="30"/>
  <c r="AB53" i="30"/>
  <c r="AA53" i="30"/>
  <c r="Z53" i="30"/>
  <c r="Y53" i="30"/>
  <c r="X53" i="30"/>
  <c r="W53" i="30"/>
  <c r="T53" i="30"/>
  <c r="R53" i="30"/>
  <c r="H53" i="30"/>
  <c r="A53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T51" i="30"/>
  <c r="R51" i="30"/>
  <c r="H51" i="30"/>
  <c r="A51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T49" i="30"/>
  <c r="R49" i="30"/>
  <c r="H49" i="30"/>
  <c r="A49" i="30"/>
  <c r="AQ47" i="30"/>
  <c r="AP47" i="30"/>
  <c r="AO47" i="30"/>
  <c r="AN47" i="30"/>
  <c r="AM47" i="30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T47" i="30"/>
  <c r="R47" i="30"/>
  <c r="H47" i="30"/>
  <c r="A47" i="30"/>
  <c r="AQ45" i="30"/>
  <c r="AP45" i="30"/>
  <c r="AO45" i="30"/>
  <c r="AN45" i="30"/>
  <c r="AM45" i="30"/>
  <c r="AL45" i="30"/>
  <c r="AK45" i="30"/>
  <c r="AJ45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T45" i="30"/>
  <c r="R45" i="30"/>
  <c r="H45" i="30"/>
  <c r="A45" i="30"/>
  <c r="AQ43" i="30"/>
  <c r="AP43" i="30"/>
  <c r="AO43" i="30"/>
  <c r="AN43" i="30"/>
  <c r="AM43" i="30"/>
  <c r="AL43" i="30"/>
  <c r="AK43" i="30"/>
  <c r="AJ43" i="30"/>
  <c r="AI43" i="30"/>
  <c r="AH43" i="30"/>
  <c r="AG43" i="30"/>
  <c r="AF43" i="30"/>
  <c r="AE43" i="30"/>
  <c r="AD43" i="30"/>
  <c r="AC43" i="30"/>
  <c r="AB43" i="30"/>
  <c r="AA43" i="30"/>
  <c r="Z43" i="30"/>
  <c r="Y43" i="30"/>
  <c r="X43" i="30"/>
  <c r="W43" i="30"/>
  <c r="T43" i="30"/>
  <c r="H43" i="30"/>
  <c r="A43" i="30"/>
  <c r="AQ41" i="30"/>
  <c r="AP41" i="30"/>
  <c r="AO41" i="30"/>
  <c r="AN41" i="30"/>
  <c r="AM41" i="30"/>
  <c r="AL41" i="30"/>
  <c r="AK41" i="30"/>
  <c r="AJ41" i="30"/>
  <c r="AI41" i="30"/>
  <c r="AH41" i="30"/>
  <c r="AG41" i="30"/>
  <c r="AF41" i="30"/>
  <c r="AE41" i="30"/>
  <c r="AD41" i="30"/>
  <c r="AC41" i="30"/>
  <c r="AB41" i="30"/>
  <c r="AA41" i="30"/>
  <c r="Z41" i="30"/>
  <c r="Y41" i="30"/>
  <c r="X41" i="30"/>
  <c r="W41" i="30"/>
  <c r="T41" i="30"/>
  <c r="H41" i="30"/>
  <c r="A41" i="30"/>
  <c r="AQ39" i="30"/>
  <c r="AP39" i="30"/>
  <c r="AO39" i="30"/>
  <c r="AN39" i="30"/>
  <c r="AM39" i="30"/>
  <c r="AL39" i="30"/>
  <c r="AK39" i="30"/>
  <c r="AJ39" i="30"/>
  <c r="AI39" i="30"/>
  <c r="AH39" i="30"/>
  <c r="AG39" i="30"/>
  <c r="AF39" i="30"/>
  <c r="AE39" i="30"/>
  <c r="AD39" i="30"/>
  <c r="AC39" i="30"/>
  <c r="AB39" i="30"/>
  <c r="AA39" i="30"/>
  <c r="Z39" i="30"/>
  <c r="Y39" i="30"/>
  <c r="X39" i="30"/>
  <c r="W39" i="30"/>
  <c r="T39" i="30"/>
  <c r="H39" i="30"/>
  <c r="A39" i="30"/>
  <c r="AQ37" i="30"/>
  <c r="AP37" i="30"/>
  <c r="AO37" i="30"/>
  <c r="AN37" i="30"/>
  <c r="AM37" i="30"/>
  <c r="AL37" i="30"/>
  <c r="AK37" i="30"/>
  <c r="AJ37" i="30"/>
  <c r="AI37" i="30"/>
  <c r="AH37" i="30"/>
  <c r="AG37" i="30"/>
  <c r="AF37" i="30"/>
  <c r="AE37" i="30"/>
  <c r="AD37" i="30"/>
  <c r="AC37" i="30"/>
  <c r="AB37" i="30"/>
  <c r="AA37" i="30"/>
  <c r="Z37" i="30"/>
  <c r="Y37" i="30"/>
  <c r="X37" i="30"/>
  <c r="W37" i="30"/>
  <c r="T37" i="30"/>
  <c r="H37" i="30"/>
  <c r="A37" i="30"/>
  <c r="AQ35" i="30"/>
  <c r="AP35" i="30"/>
  <c r="AO35" i="30"/>
  <c r="AN35" i="30"/>
  <c r="AM35" i="30"/>
  <c r="AL35" i="30"/>
  <c r="AK35" i="30"/>
  <c r="AJ35" i="30"/>
  <c r="AI35" i="30"/>
  <c r="AH35" i="30"/>
  <c r="AG35" i="30"/>
  <c r="AF35" i="30"/>
  <c r="AE35" i="30"/>
  <c r="AD35" i="30"/>
  <c r="AC35" i="30"/>
  <c r="AB35" i="30"/>
  <c r="AA35" i="30"/>
  <c r="Z35" i="30"/>
  <c r="Y35" i="30"/>
  <c r="X35" i="30"/>
  <c r="W35" i="30"/>
  <c r="T35" i="30"/>
  <c r="H35" i="30"/>
  <c r="A35" i="30"/>
  <c r="AQ33" i="30"/>
  <c r="AP33" i="30"/>
  <c r="AO33" i="30"/>
  <c r="AN33" i="30"/>
  <c r="AM33" i="30"/>
  <c r="AL33" i="30"/>
  <c r="AK33" i="30"/>
  <c r="AJ33" i="30"/>
  <c r="AI33" i="30"/>
  <c r="AH33" i="30"/>
  <c r="AG33" i="30"/>
  <c r="AF33" i="30"/>
  <c r="AE33" i="30"/>
  <c r="AD33" i="30"/>
  <c r="AC33" i="30"/>
  <c r="AB33" i="30"/>
  <c r="AA33" i="30"/>
  <c r="Z33" i="30"/>
  <c r="Y33" i="30"/>
  <c r="X33" i="30"/>
  <c r="W33" i="30"/>
  <c r="T33" i="30"/>
  <c r="R33" i="30"/>
  <c r="H33" i="30"/>
  <c r="A33" i="30"/>
  <c r="AQ31" i="30"/>
  <c r="AP31" i="30"/>
  <c r="AO31" i="30"/>
  <c r="AN31" i="30"/>
  <c r="AM31" i="30"/>
  <c r="AL31" i="30"/>
  <c r="AK31" i="30"/>
  <c r="AJ31" i="30"/>
  <c r="AI31" i="30"/>
  <c r="AH31" i="30"/>
  <c r="AG31" i="30"/>
  <c r="AF31" i="30"/>
  <c r="AE31" i="30"/>
  <c r="AD31" i="30"/>
  <c r="AC31" i="30"/>
  <c r="AB31" i="30"/>
  <c r="AA31" i="30"/>
  <c r="Z31" i="30"/>
  <c r="Y31" i="30"/>
  <c r="X31" i="30"/>
  <c r="W31" i="30"/>
  <c r="T31" i="30"/>
  <c r="H31" i="30"/>
  <c r="A31" i="30"/>
  <c r="G25" i="30"/>
  <c r="G26" i="30" s="1"/>
  <c r="C19" i="30"/>
  <c r="G16" i="30" s="1"/>
  <c r="B19" i="30"/>
  <c r="F16" i="30" s="1"/>
  <c r="B10" i="30"/>
  <c r="B99" i="29"/>
  <c r="P91" i="29"/>
  <c r="T86" i="29" s="1"/>
  <c r="T87" i="29" s="1"/>
  <c r="B147" i="12" s="1"/>
  <c r="P90" i="29"/>
  <c r="B142" i="12" s="1"/>
  <c r="T89" i="29"/>
  <c r="T90" i="29" s="1"/>
  <c r="U90" i="29" s="1"/>
  <c r="P89" i="29"/>
  <c r="B141" i="12" s="1"/>
  <c r="F84" i="29"/>
  <c r="E84" i="29"/>
  <c r="C84" i="29"/>
  <c r="AQ81" i="29"/>
  <c r="AP81" i="29"/>
  <c r="AO81" i="29"/>
  <c r="AN81" i="29"/>
  <c r="AM81" i="29"/>
  <c r="AL81" i="29"/>
  <c r="AK81" i="29"/>
  <c r="AJ81" i="29"/>
  <c r="AI81" i="29"/>
  <c r="AH81" i="29"/>
  <c r="AG81" i="29"/>
  <c r="AF81" i="29"/>
  <c r="AE81" i="29"/>
  <c r="AD81" i="29"/>
  <c r="AC81" i="29"/>
  <c r="AB81" i="29"/>
  <c r="AA81" i="29"/>
  <c r="Z81" i="29"/>
  <c r="Y81" i="29"/>
  <c r="X81" i="29"/>
  <c r="W81" i="29"/>
  <c r="T81" i="29"/>
  <c r="P81" i="29"/>
  <c r="A81" i="29"/>
  <c r="AQ79" i="29"/>
  <c r="AP79" i="29"/>
  <c r="AO79" i="29"/>
  <c r="AN79" i="29"/>
  <c r="AM79" i="29"/>
  <c r="AL79" i="29"/>
  <c r="AK79" i="29"/>
  <c r="AJ79" i="29"/>
  <c r="AI79" i="29"/>
  <c r="AH79" i="29"/>
  <c r="AG79" i="29"/>
  <c r="AF79" i="29"/>
  <c r="AE79" i="29"/>
  <c r="AD79" i="29"/>
  <c r="AC79" i="29"/>
  <c r="AB79" i="29"/>
  <c r="AA79" i="29"/>
  <c r="Z79" i="29"/>
  <c r="Y79" i="29"/>
  <c r="X79" i="29"/>
  <c r="W79" i="29"/>
  <c r="T79" i="29"/>
  <c r="P79" i="29"/>
  <c r="A79" i="29"/>
  <c r="AQ77" i="29"/>
  <c r="AP77" i="29"/>
  <c r="AO77" i="29"/>
  <c r="AN77" i="29"/>
  <c r="AM77" i="29"/>
  <c r="AL77" i="29"/>
  <c r="AK77" i="29"/>
  <c r="AJ77" i="29"/>
  <c r="AI77" i="29"/>
  <c r="AH77" i="29"/>
  <c r="AG77" i="29"/>
  <c r="AF77" i="29"/>
  <c r="AE77" i="29"/>
  <c r="AD77" i="29"/>
  <c r="AC77" i="29"/>
  <c r="AB77" i="29"/>
  <c r="AA77" i="29"/>
  <c r="Z77" i="29"/>
  <c r="Y77" i="29"/>
  <c r="X77" i="29"/>
  <c r="W77" i="29"/>
  <c r="T77" i="29"/>
  <c r="P77" i="29"/>
  <c r="A77" i="29"/>
  <c r="AQ75" i="29"/>
  <c r="AP75" i="29"/>
  <c r="AO75" i="29"/>
  <c r="AN75" i="29"/>
  <c r="AM75" i="29"/>
  <c r="AL75" i="29"/>
  <c r="AK75" i="29"/>
  <c r="AJ75" i="29"/>
  <c r="AI75" i="29"/>
  <c r="AH75" i="29"/>
  <c r="AG75" i="29"/>
  <c r="AF75" i="29"/>
  <c r="AE75" i="29"/>
  <c r="AD75" i="29"/>
  <c r="AC75" i="29"/>
  <c r="AB75" i="29"/>
  <c r="AA75" i="29"/>
  <c r="Z75" i="29"/>
  <c r="Y75" i="29"/>
  <c r="X75" i="29"/>
  <c r="W75" i="29"/>
  <c r="T75" i="29"/>
  <c r="P75" i="29"/>
  <c r="A75" i="29"/>
  <c r="AQ73" i="29"/>
  <c r="AP73" i="29"/>
  <c r="AO73" i="29"/>
  <c r="AN73" i="29"/>
  <c r="AM73" i="29"/>
  <c r="AL73" i="29"/>
  <c r="AK73" i="29"/>
  <c r="AJ73" i="29"/>
  <c r="AI73" i="29"/>
  <c r="AH73" i="29"/>
  <c r="AG73" i="29"/>
  <c r="AF73" i="29"/>
  <c r="AE73" i="29"/>
  <c r="AD73" i="29"/>
  <c r="AC73" i="29"/>
  <c r="AB73" i="29"/>
  <c r="AA73" i="29"/>
  <c r="Z73" i="29"/>
  <c r="Y73" i="29"/>
  <c r="X73" i="29"/>
  <c r="W73" i="29"/>
  <c r="T73" i="29"/>
  <c r="P73" i="29"/>
  <c r="A73" i="29"/>
  <c r="AQ71" i="29"/>
  <c r="AP71" i="29"/>
  <c r="AO71" i="29"/>
  <c r="AN71" i="29"/>
  <c r="AM71" i="29"/>
  <c r="AL71" i="29"/>
  <c r="AK71" i="29"/>
  <c r="AJ71" i="29"/>
  <c r="AI71" i="29"/>
  <c r="AH71" i="29"/>
  <c r="AG71" i="29"/>
  <c r="AF71" i="29"/>
  <c r="AE71" i="29"/>
  <c r="AD71" i="29"/>
  <c r="AC71" i="29"/>
  <c r="AB71" i="29"/>
  <c r="AA71" i="29"/>
  <c r="Z71" i="29"/>
  <c r="Y71" i="29"/>
  <c r="X71" i="29"/>
  <c r="W71" i="29"/>
  <c r="T71" i="29"/>
  <c r="H71" i="29"/>
  <c r="A71" i="29"/>
  <c r="AQ69" i="29"/>
  <c r="AP69" i="29"/>
  <c r="AO69" i="29"/>
  <c r="AN69" i="29"/>
  <c r="AM69" i="29"/>
  <c r="AL69" i="29"/>
  <c r="AK69" i="29"/>
  <c r="AJ69" i="29"/>
  <c r="AI69" i="29"/>
  <c r="AH69" i="29"/>
  <c r="AG69" i="29"/>
  <c r="AF69" i="29"/>
  <c r="AE69" i="29"/>
  <c r="AD69" i="29"/>
  <c r="AC69" i="29"/>
  <c r="AB69" i="29"/>
  <c r="AA69" i="29"/>
  <c r="Z69" i="29"/>
  <c r="Y69" i="29"/>
  <c r="X69" i="29"/>
  <c r="W69" i="29"/>
  <c r="T69" i="29"/>
  <c r="R69" i="29"/>
  <c r="H69" i="29"/>
  <c r="A69" i="29"/>
  <c r="AQ67" i="29"/>
  <c r="AP67" i="29"/>
  <c r="AO67" i="29"/>
  <c r="AN67" i="29"/>
  <c r="AM67" i="29"/>
  <c r="AL67" i="29"/>
  <c r="AK67" i="29"/>
  <c r="AJ67" i="29"/>
  <c r="AI67" i="29"/>
  <c r="AH67" i="29"/>
  <c r="AG67" i="29"/>
  <c r="AF67" i="29"/>
  <c r="AE67" i="29"/>
  <c r="AD67" i="29"/>
  <c r="AC67" i="29"/>
  <c r="AB67" i="29"/>
  <c r="AA67" i="29"/>
  <c r="Z67" i="29"/>
  <c r="Y67" i="29"/>
  <c r="X67" i="29"/>
  <c r="W67" i="29"/>
  <c r="T67" i="29"/>
  <c r="R67" i="29"/>
  <c r="H67" i="29"/>
  <c r="A67" i="29"/>
  <c r="AQ65" i="29"/>
  <c r="AP65" i="29"/>
  <c r="AO65" i="29"/>
  <c r="AN65" i="29"/>
  <c r="AM65" i="29"/>
  <c r="AL65" i="29"/>
  <c r="AK65" i="29"/>
  <c r="AJ65" i="29"/>
  <c r="AI65" i="29"/>
  <c r="AH65" i="29"/>
  <c r="AG65" i="29"/>
  <c r="AF65" i="29"/>
  <c r="AE65" i="29"/>
  <c r="AD65" i="29"/>
  <c r="AC65" i="29"/>
  <c r="AB65" i="29"/>
  <c r="AA65" i="29"/>
  <c r="Z65" i="29"/>
  <c r="Y65" i="29"/>
  <c r="X65" i="29"/>
  <c r="W65" i="29"/>
  <c r="T65" i="29"/>
  <c r="H65" i="29"/>
  <c r="A65" i="29"/>
  <c r="AQ63" i="29"/>
  <c r="AP63" i="29"/>
  <c r="AO63" i="29"/>
  <c r="AN63" i="29"/>
  <c r="AM63" i="29"/>
  <c r="AL63" i="29"/>
  <c r="AK63" i="29"/>
  <c r="AJ63" i="29"/>
  <c r="AI63" i="29"/>
  <c r="AH63" i="29"/>
  <c r="AG63" i="29"/>
  <c r="AF63" i="29"/>
  <c r="AE63" i="29"/>
  <c r="AD63" i="29"/>
  <c r="AC63" i="29"/>
  <c r="AB63" i="29"/>
  <c r="AA63" i="29"/>
  <c r="Z63" i="29"/>
  <c r="Y63" i="29"/>
  <c r="X63" i="29"/>
  <c r="W63" i="29"/>
  <c r="T63" i="29"/>
  <c r="H63" i="29"/>
  <c r="A63" i="29"/>
  <c r="AQ61" i="29"/>
  <c r="AP61" i="29"/>
  <c r="AO61" i="29"/>
  <c r="AN61" i="29"/>
  <c r="AM61" i="29"/>
  <c r="AL61" i="29"/>
  <c r="AK61" i="29"/>
  <c r="AJ61" i="29"/>
  <c r="AI61" i="29"/>
  <c r="AH61" i="29"/>
  <c r="AG61" i="29"/>
  <c r="AF61" i="29"/>
  <c r="AE61" i="29"/>
  <c r="AD61" i="29"/>
  <c r="AC61" i="29"/>
  <c r="AB61" i="29"/>
  <c r="AA61" i="29"/>
  <c r="Z61" i="29"/>
  <c r="Y61" i="29"/>
  <c r="X61" i="29"/>
  <c r="W61" i="29"/>
  <c r="T61" i="29"/>
  <c r="R61" i="29"/>
  <c r="H61" i="29"/>
  <c r="A61" i="29"/>
  <c r="AQ59" i="29"/>
  <c r="AP59" i="29"/>
  <c r="AO59" i="29"/>
  <c r="AN59" i="29"/>
  <c r="AM59" i="29"/>
  <c r="AL59" i="29"/>
  <c r="AK59" i="29"/>
  <c r="AJ59" i="29"/>
  <c r="AI59" i="29"/>
  <c r="AH59" i="29"/>
  <c r="AG59" i="29"/>
  <c r="AF59" i="29"/>
  <c r="AE59" i="29"/>
  <c r="AD59" i="29"/>
  <c r="AC59" i="29"/>
  <c r="AB59" i="29"/>
  <c r="AA59" i="29"/>
  <c r="Z59" i="29"/>
  <c r="Y59" i="29"/>
  <c r="X59" i="29"/>
  <c r="W59" i="29"/>
  <c r="T59" i="29"/>
  <c r="R59" i="29"/>
  <c r="H59" i="29"/>
  <c r="A59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H57" i="29"/>
  <c r="A57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AE55" i="29"/>
  <c r="AD55" i="29"/>
  <c r="AC55" i="29"/>
  <c r="AB55" i="29"/>
  <c r="AA55" i="29"/>
  <c r="Z55" i="29"/>
  <c r="Y55" i="29"/>
  <c r="X55" i="29"/>
  <c r="W55" i="29"/>
  <c r="T55" i="29"/>
  <c r="H55" i="29"/>
  <c r="A55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T53" i="29"/>
  <c r="R53" i="29"/>
  <c r="H53" i="29"/>
  <c r="A53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T51" i="29"/>
  <c r="R51" i="29"/>
  <c r="H51" i="29"/>
  <c r="A51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T49" i="29"/>
  <c r="R49" i="29"/>
  <c r="H49" i="29"/>
  <c r="A49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T47" i="29"/>
  <c r="R47" i="29"/>
  <c r="H47" i="29"/>
  <c r="A47" i="29"/>
  <c r="AQ45" i="29"/>
  <c r="AP45" i="29"/>
  <c r="AO45" i="29"/>
  <c r="AN45" i="29"/>
  <c r="AM45" i="29"/>
  <c r="AL45" i="29"/>
  <c r="AK45" i="29"/>
  <c r="AJ45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T45" i="29"/>
  <c r="R45" i="29"/>
  <c r="H45" i="29"/>
  <c r="A45" i="29"/>
  <c r="AQ43" i="29"/>
  <c r="AP43" i="29"/>
  <c r="AO43" i="29"/>
  <c r="AN43" i="29"/>
  <c r="AM43" i="29"/>
  <c r="AL43" i="29"/>
  <c r="AK43" i="29"/>
  <c r="AJ43" i="29"/>
  <c r="AI43" i="29"/>
  <c r="AH43" i="29"/>
  <c r="AG43" i="29"/>
  <c r="AF43" i="29"/>
  <c r="AE43" i="29"/>
  <c r="AD43" i="29"/>
  <c r="AC43" i="29"/>
  <c r="AB43" i="29"/>
  <c r="AA43" i="29"/>
  <c r="Z43" i="29"/>
  <c r="Y43" i="29"/>
  <c r="X43" i="29"/>
  <c r="W43" i="29"/>
  <c r="T43" i="29"/>
  <c r="H43" i="29"/>
  <c r="A43" i="29"/>
  <c r="AQ41" i="29"/>
  <c r="AP41" i="29"/>
  <c r="AO41" i="29"/>
  <c r="AN41" i="29"/>
  <c r="AM41" i="29"/>
  <c r="AL41" i="29"/>
  <c r="AK41" i="29"/>
  <c r="AJ41" i="29"/>
  <c r="AI41" i="29"/>
  <c r="AH41" i="29"/>
  <c r="AG41" i="29"/>
  <c r="AF41" i="29"/>
  <c r="AE41" i="29"/>
  <c r="AD41" i="29"/>
  <c r="AC41" i="29"/>
  <c r="AB41" i="29"/>
  <c r="AA41" i="29"/>
  <c r="Z41" i="29"/>
  <c r="Y41" i="29"/>
  <c r="X41" i="29"/>
  <c r="W41" i="29"/>
  <c r="T41" i="29"/>
  <c r="H41" i="29"/>
  <c r="A41" i="29"/>
  <c r="AQ39" i="29"/>
  <c r="AP39" i="29"/>
  <c r="AO39" i="29"/>
  <c r="AN39" i="29"/>
  <c r="AM39" i="29"/>
  <c r="AL39" i="29"/>
  <c r="AK39" i="29"/>
  <c r="AJ39" i="29"/>
  <c r="AI39" i="29"/>
  <c r="AH39" i="29"/>
  <c r="AG39" i="29"/>
  <c r="AF39" i="29"/>
  <c r="AE39" i="29"/>
  <c r="AD39" i="29"/>
  <c r="AC39" i="29"/>
  <c r="AB39" i="29"/>
  <c r="AA39" i="29"/>
  <c r="Z39" i="29"/>
  <c r="Y39" i="29"/>
  <c r="X39" i="29"/>
  <c r="W39" i="29"/>
  <c r="T39" i="29"/>
  <c r="H39" i="29"/>
  <c r="A39" i="29"/>
  <c r="AQ37" i="29"/>
  <c r="AP37" i="29"/>
  <c r="AO37" i="29"/>
  <c r="AN37" i="29"/>
  <c r="AM37" i="29"/>
  <c r="AL37" i="29"/>
  <c r="AK37" i="29"/>
  <c r="AJ37" i="29"/>
  <c r="AI37" i="29"/>
  <c r="AH37" i="29"/>
  <c r="AG37" i="29"/>
  <c r="AF37" i="29"/>
  <c r="AE37" i="29"/>
  <c r="AD37" i="29"/>
  <c r="AC37" i="29"/>
  <c r="AB37" i="29"/>
  <c r="AA37" i="29"/>
  <c r="Z37" i="29"/>
  <c r="Y37" i="29"/>
  <c r="X37" i="29"/>
  <c r="W37" i="29"/>
  <c r="T37" i="29"/>
  <c r="H37" i="29"/>
  <c r="A37" i="29"/>
  <c r="AQ35" i="29"/>
  <c r="AP35" i="29"/>
  <c r="AO35" i="29"/>
  <c r="AN35" i="29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T35" i="29"/>
  <c r="H35" i="29"/>
  <c r="A35" i="29"/>
  <c r="AQ33" i="29"/>
  <c r="AP33" i="29"/>
  <c r="AO33" i="29"/>
  <c r="AN33" i="29"/>
  <c r="AM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T33" i="29"/>
  <c r="R33" i="29"/>
  <c r="H33" i="29"/>
  <c r="A33" i="29"/>
  <c r="AQ31" i="29"/>
  <c r="AP31" i="29"/>
  <c r="AO31" i="29"/>
  <c r="AN31" i="29"/>
  <c r="AM31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T31" i="29"/>
  <c r="H31" i="29"/>
  <c r="A31" i="29"/>
  <c r="G25" i="29"/>
  <c r="G26" i="29" s="1"/>
  <c r="C19" i="29"/>
  <c r="G16" i="29" s="1"/>
  <c r="B19" i="29"/>
  <c r="F14" i="29" s="1"/>
  <c r="F16" i="29"/>
  <c r="B10" i="29"/>
  <c r="B99" i="28"/>
  <c r="P91" i="28"/>
  <c r="T86" i="28" s="1"/>
  <c r="T87" i="28" s="1"/>
  <c r="B126" i="12" s="1"/>
  <c r="P90" i="28"/>
  <c r="B121" i="12" s="1"/>
  <c r="T89" i="28"/>
  <c r="T90" i="28" s="1"/>
  <c r="U90" i="28" s="1"/>
  <c r="P89" i="28"/>
  <c r="B120" i="12" s="1"/>
  <c r="F84" i="28"/>
  <c r="E84" i="28"/>
  <c r="C84" i="28"/>
  <c r="AQ81" i="28"/>
  <c r="AP81" i="28"/>
  <c r="AO81" i="28"/>
  <c r="AN81" i="28"/>
  <c r="AM81" i="28"/>
  <c r="AL81" i="28"/>
  <c r="AK81" i="28"/>
  <c r="AJ81" i="28"/>
  <c r="AI81" i="28"/>
  <c r="AH81" i="28"/>
  <c r="AG81" i="28"/>
  <c r="AF81" i="28"/>
  <c r="AE81" i="28"/>
  <c r="AD81" i="28"/>
  <c r="AC81" i="28"/>
  <c r="AB81" i="28"/>
  <c r="AA81" i="28"/>
  <c r="Z81" i="28"/>
  <c r="Y81" i="28"/>
  <c r="X81" i="28"/>
  <c r="W81" i="28"/>
  <c r="T81" i="28"/>
  <c r="P81" i="28"/>
  <c r="A81" i="28"/>
  <c r="AQ79" i="28"/>
  <c r="AP79" i="28"/>
  <c r="AO79" i="28"/>
  <c r="AN79" i="28"/>
  <c r="AM79" i="28"/>
  <c r="AL79" i="28"/>
  <c r="AK79" i="28"/>
  <c r="AJ79" i="28"/>
  <c r="AI79" i="28"/>
  <c r="AH79" i="28"/>
  <c r="AG79" i="28"/>
  <c r="AF79" i="28"/>
  <c r="AE79" i="28"/>
  <c r="AD79" i="28"/>
  <c r="AC79" i="28"/>
  <c r="AB79" i="28"/>
  <c r="AA79" i="28"/>
  <c r="Z79" i="28"/>
  <c r="Y79" i="28"/>
  <c r="X79" i="28"/>
  <c r="W79" i="28"/>
  <c r="T79" i="28"/>
  <c r="P79" i="28"/>
  <c r="A79" i="28"/>
  <c r="AQ77" i="28"/>
  <c r="AP77" i="28"/>
  <c r="AO77" i="28"/>
  <c r="AN77" i="28"/>
  <c r="AM77" i="28"/>
  <c r="AL77" i="28"/>
  <c r="AK77" i="28"/>
  <c r="AJ77" i="28"/>
  <c r="AI77" i="28"/>
  <c r="AH77" i="28"/>
  <c r="AG77" i="28"/>
  <c r="AF77" i="28"/>
  <c r="AE77" i="28"/>
  <c r="AD77" i="28"/>
  <c r="AC77" i="28"/>
  <c r="AB77" i="28"/>
  <c r="AA77" i="28"/>
  <c r="Z77" i="28"/>
  <c r="Y77" i="28"/>
  <c r="X77" i="28"/>
  <c r="W77" i="28"/>
  <c r="T77" i="28"/>
  <c r="P77" i="28"/>
  <c r="A77" i="28"/>
  <c r="AQ75" i="28"/>
  <c r="AP75" i="28"/>
  <c r="AO75" i="28"/>
  <c r="AN75" i="28"/>
  <c r="AM75" i="28"/>
  <c r="AL75" i="28"/>
  <c r="AK75" i="28"/>
  <c r="AJ75" i="28"/>
  <c r="AI75" i="28"/>
  <c r="AH75" i="28"/>
  <c r="AG75" i="28"/>
  <c r="AF75" i="28"/>
  <c r="AE75" i="28"/>
  <c r="AD75" i="28"/>
  <c r="AC75" i="28"/>
  <c r="AB75" i="28"/>
  <c r="AA75" i="28"/>
  <c r="Z75" i="28"/>
  <c r="Y75" i="28"/>
  <c r="X75" i="28"/>
  <c r="W75" i="28"/>
  <c r="T75" i="28"/>
  <c r="P75" i="28"/>
  <c r="A75" i="28"/>
  <c r="AQ73" i="28"/>
  <c r="AP73" i="28"/>
  <c r="AO73" i="28"/>
  <c r="AN73" i="28"/>
  <c r="AM73" i="28"/>
  <c r="AL73" i="28"/>
  <c r="AK73" i="28"/>
  <c r="AJ73" i="28"/>
  <c r="AI73" i="28"/>
  <c r="AH73" i="28"/>
  <c r="AG73" i="28"/>
  <c r="AF73" i="28"/>
  <c r="AE73" i="28"/>
  <c r="AD73" i="28"/>
  <c r="AC73" i="28"/>
  <c r="AB73" i="28"/>
  <c r="AA73" i="28"/>
  <c r="Z73" i="28"/>
  <c r="Y73" i="28"/>
  <c r="X73" i="28"/>
  <c r="W73" i="28"/>
  <c r="T73" i="28"/>
  <c r="P73" i="28"/>
  <c r="A73" i="28"/>
  <c r="AQ71" i="28"/>
  <c r="AP71" i="28"/>
  <c r="AO71" i="28"/>
  <c r="AN71" i="28"/>
  <c r="AM71" i="28"/>
  <c r="AL71" i="28"/>
  <c r="AK71" i="28"/>
  <c r="AJ71" i="28"/>
  <c r="AI71" i="28"/>
  <c r="AH71" i="28"/>
  <c r="AG71" i="28"/>
  <c r="AF71" i="28"/>
  <c r="AE71" i="28"/>
  <c r="AD71" i="28"/>
  <c r="AC71" i="28"/>
  <c r="AB71" i="28"/>
  <c r="AA71" i="28"/>
  <c r="Z71" i="28"/>
  <c r="Y71" i="28"/>
  <c r="X71" i="28"/>
  <c r="W71" i="28"/>
  <c r="T71" i="28"/>
  <c r="H71" i="28"/>
  <c r="A71" i="28"/>
  <c r="AQ69" i="28"/>
  <c r="AP69" i="28"/>
  <c r="AO69" i="28"/>
  <c r="AN69" i="28"/>
  <c r="AM69" i="28"/>
  <c r="AL69" i="28"/>
  <c r="AK69" i="28"/>
  <c r="AJ69" i="28"/>
  <c r="AI69" i="28"/>
  <c r="AH69" i="28"/>
  <c r="AG69" i="28"/>
  <c r="AF69" i="28"/>
  <c r="AE69" i="28"/>
  <c r="AD69" i="28"/>
  <c r="AC69" i="28"/>
  <c r="AB69" i="28"/>
  <c r="AA69" i="28"/>
  <c r="Z69" i="28"/>
  <c r="Y69" i="28"/>
  <c r="X69" i="28"/>
  <c r="W69" i="28"/>
  <c r="T69" i="28"/>
  <c r="R69" i="28"/>
  <c r="H69" i="28"/>
  <c r="A69" i="28"/>
  <c r="AQ67" i="28"/>
  <c r="AP67" i="28"/>
  <c r="AO67" i="28"/>
  <c r="AN67" i="28"/>
  <c r="AM67" i="28"/>
  <c r="AL67" i="28"/>
  <c r="AK67" i="28"/>
  <c r="AJ67" i="28"/>
  <c r="AI67" i="28"/>
  <c r="AH67" i="28"/>
  <c r="AG67" i="28"/>
  <c r="AF67" i="28"/>
  <c r="AE67" i="28"/>
  <c r="AD67" i="28"/>
  <c r="AC67" i="28"/>
  <c r="AB67" i="28"/>
  <c r="AA67" i="28"/>
  <c r="Z67" i="28"/>
  <c r="Y67" i="28"/>
  <c r="X67" i="28"/>
  <c r="W67" i="28"/>
  <c r="T67" i="28"/>
  <c r="R67" i="28"/>
  <c r="H67" i="28"/>
  <c r="A67" i="28"/>
  <c r="AQ65" i="28"/>
  <c r="AP65" i="28"/>
  <c r="AO65" i="28"/>
  <c r="AN65" i="28"/>
  <c r="AM65" i="28"/>
  <c r="AL65" i="28"/>
  <c r="AK65" i="28"/>
  <c r="AJ65" i="28"/>
  <c r="AI65" i="28"/>
  <c r="AH65" i="28"/>
  <c r="AG65" i="28"/>
  <c r="AF65" i="28"/>
  <c r="AE65" i="28"/>
  <c r="AD65" i="28"/>
  <c r="AC65" i="28"/>
  <c r="AB65" i="28"/>
  <c r="AA65" i="28"/>
  <c r="Z65" i="28"/>
  <c r="Y65" i="28"/>
  <c r="X65" i="28"/>
  <c r="W65" i="28"/>
  <c r="T65" i="28"/>
  <c r="H65" i="28"/>
  <c r="A65" i="28"/>
  <c r="AQ63" i="28"/>
  <c r="AP63" i="28"/>
  <c r="AO63" i="28"/>
  <c r="AN63" i="28"/>
  <c r="AM63" i="28"/>
  <c r="AL63" i="28"/>
  <c r="AK63" i="28"/>
  <c r="AJ63" i="28"/>
  <c r="AI63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T63" i="28"/>
  <c r="H63" i="28"/>
  <c r="A63" i="28"/>
  <c r="AQ61" i="28"/>
  <c r="AP61" i="28"/>
  <c r="AO61" i="28"/>
  <c r="AN61" i="28"/>
  <c r="AM61" i="28"/>
  <c r="AL61" i="28"/>
  <c r="AK61" i="28"/>
  <c r="AJ61" i="28"/>
  <c r="AI61" i="28"/>
  <c r="AH61" i="28"/>
  <c r="AG61" i="28"/>
  <c r="AF61" i="28"/>
  <c r="AE61" i="28"/>
  <c r="AD61" i="28"/>
  <c r="AC61" i="28"/>
  <c r="AB61" i="28"/>
  <c r="AA61" i="28"/>
  <c r="Z61" i="28"/>
  <c r="Y61" i="28"/>
  <c r="X61" i="28"/>
  <c r="W61" i="28"/>
  <c r="T61" i="28"/>
  <c r="R61" i="28"/>
  <c r="H61" i="28"/>
  <c r="A61" i="28"/>
  <c r="AQ59" i="28"/>
  <c r="AP59" i="28"/>
  <c r="AO59" i="28"/>
  <c r="AN59" i="28"/>
  <c r="AM59" i="28"/>
  <c r="AL59" i="28"/>
  <c r="AK59" i="28"/>
  <c r="AJ59" i="28"/>
  <c r="AI59" i="28"/>
  <c r="AH59" i="28"/>
  <c r="AG59" i="28"/>
  <c r="AF59" i="28"/>
  <c r="AE59" i="28"/>
  <c r="AD59" i="28"/>
  <c r="AC59" i="28"/>
  <c r="AB59" i="28"/>
  <c r="AA59" i="28"/>
  <c r="Z59" i="28"/>
  <c r="Y59" i="28"/>
  <c r="X59" i="28"/>
  <c r="W59" i="28"/>
  <c r="T59" i="28"/>
  <c r="R59" i="28"/>
  <c r="H59" i="28"/>
  <c r="A59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H57" i="28"/>
  <c r="A57" i="28"/>
  <c r="AQ55" i="28"/>
  <c r="AP55" i="28"/>
  <c r="AO55" i="28"/>
  <c r="AN55" i="28"/>
  <c r="AM55" i="28"/>
  <c r="AL55" i="28"/>
  <c r="AK55" i="28"/>
  <c r="AJ55" i="28"/>
  <c r="AI55" i="28"/>
  <c r="AH55" i="28"/>
  <c r="AG55" i="28"/>
  <c r="AF55" i="28"/>
  <c r="AE55" i="28"/>
  <c r="AD55" i="28"/>
  <c r="AC55" i="28"/>
  <c r="AB55" i="28"/>
  <c r="AA55" i="28"/>
  <c r="Z55" i="28"/>
  <c r="Y55" i="28"/>
  <c r="X55" i="28"/>
  <c r="W55" i="28"/>
  <c r="T55" i="28"/>
  <c r="H55" i="28"/>
  <c r="A55" i="28"/>
  <c r="AQ53" i="28"/>
  <c r="AP53" i="28"/>
  <c r="AO53" i="28"/>
  <c r="AN53" i="28"/>
  <c r="AM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T53" i="28"/>
  <c r="R53" i="28"/>
  <c r="H53" i="28"/>
  <c r="A53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T51" i="28"/>
  <c r="R51" i="28"/>
  <c r="H51" i="28"/>
  <c r="A51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T49" i="28"/>
  <c r="R49" i="28"/>
  <c r="H49" i="28"/>
  <c r="A49" i="28"/>
  <c r="AQ47" i="28"/>
  <c r="AP47" i="28"/>
  <c r="AO47" i="28"/>
  <c r="AN47" i="28"/>
  <c r="AM47" i="28"/>
  <c r="AL47" i="28"/>
  <c r="AK47" i="28"/>
  <c r="AJ47" i="28"/>
  <c r="AI47" i="28"/>
  <c r="AH47" i="28"/>
  <c r="AG47" i="28"/>
  <c r="AF47" i="28"/>
  <c r="AE47" i="28"/>
  <c r="AD47" i="28"/>
  <c r="AC47" i="28"/>
  <c r="AB47" i="28"/>
  <c r="AA47" i="28"/>
  <c r="Z47" i="28"/>
  <c r="Y47" i="28"/>
  <c r="X47" i="28"/>
  <c r="W47" i="28"/>
  <c r="T47" i="28"/>
  <c r="R47" i="28"/>
  <c r="H47" i="28"/>
  <c r="A47" i="28"/>
  <c r="AQ45" i="28"/>
  <c r="AP45" i="28"/>
  <c r="AO45" i="28"/>
  <c r="AN45" i="28"/>
  <c r="AM45" i="28"/>
  <c r="AL45" i="28"/>
  <c r="AK45" i="28"/>
  <c r="AJ45" i="28"/>
  <c r="AI45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T45" i="28"/>
  <c r="R45" i="28"/>
  <c r="H45" i="28"/>
  <c r="A45" i="28"/>
  <c r="AQ43" i="28"/>
  <c r="AP43" i="28"/>
  <c r="AO43" i="28"/>
  <c r="AN43" i="28"/>
  <c r="AM43" i="28"/>
  <c r="AL43" i="28"/>
  <c r="AK43" i="28"/>
  <c r="AJ43" i="28"/>
  <c r="AI43" i="28"/>
  <c r="AH43" i="28"/>
  <c r="AG43" i="28"/>
  <c r="AF43" i="28"/>
  <c r="AE43" i="28"/>
  <c r="AD43" i="28"/>
  <c r="AC43" i="28"/>
  <c r="AB43" i="28"/>
  <c r="AA43" i="28"/>
  <c r="Z43" i="28"/>
  <c r="Y43" i="28"/>
  <c r="X43" i="28"/>
  <c r="W43" i="28"/>
  <c r="T43" i="28"/>
  <c r="H43" i="28"/>
  <c r="A43" i="28"/>
  <c r="AQ41" i="28"/>
  <c r="AP41" i="28"/>
  <c r="AO41" i="28"/>
  <c r="AN41" i="28"/>
  <c r="AM41" i="28"/>
  <c r="AL41" i="28"/>
  <c r="AK41" i="28"/>
  <c r="AJ41" i="28"/>
  <c r="AI41" i="28"/>
  <c r="AH41" i="28"/>
  <c r="AG41" i="28"/>
  <c r="AF41" i="28"/>
  <c r="AE41" i="28"/>
  <c r="AD41" i="28"/>
  <c r="AC41" i="28"/>
  <c r="AB41" i="28"/>
  <c r="AA41" i="28"/>
  <c r="Z41" i="28"/>
  <c r="Y41" i="28"/>
  <c r="X41" i="28"/>
  <c r="W41" i="28"/>
  <c r="T41" i="28"/>
  <c r="H41" i="28"/>
  <c r="A41" i="28"/>
  <c r="AQ39" i="28"/>
  <c r="AP39" i="28"/>
  <c r="AO39" i="28"/>
  <c r="AN39" i="28"/>
  <c r="AM39" i="28"/>
  <c r="AL39" i="28"/>
  <c r="AK39" i="28"/>
  <c r="AJ39" i="28"/>
  <c r="AI39" i="28"/>
  <c r="AH39" i="28"/>
  <c r="AG39" i="28"/>
  <c r="AF39" i="28"/>
  <c r="AE39" i="28"/>
  <c r="AD39" i="28"/>
  <c r="AC39" i="28"/>
  <c r="AB39" i="28"/>
  <c r="AA39" i="28"/>
  <c r="Z39" i="28"/>
  <c r="Y39" i="28"/>
  <c r="X39" i="28"/>
  <c r="W39" i="28"/>
  <c r="T39" i="28"/>
  <c r="H39" i="28"/>
  <c r="A39" i="28"/>
  <c r="AQ37" i="28"/>
  <c r="AP37" i="28"/>
  <c r="AO37" i="28"/>
  <c r="AN37" i="28"/>
  <c r="AM37" i="28"/>
  <c r="AL37" i="28"/>
  <c r="AK37" i="28"/>
  <c r="AJ37" i="28"/>
  <c r="AI37" i="28"/>
  <c r="AH37" i="28"/>
  <c r="AG37" i="28"/>
  <c r="AF37" i="28"/>
  <c r="AE37" i="28"/>
  <c r="AD37" i="28"/>
  <c r="AC37" i="28"/>
  <c r="AB37" i="28"/>
  <c r="AA37" i="28"/>
  <c r="Z37" i="28"/>
  <c r="Y37" i="28"/>
  <c r="X37" i="28"/>
  <c r="W37" i="28"/>
  <c r="T37" i="28"/>
  <c r="H37" i="28"/>
  <c r="A37" i="28"/>
  <c r="AQ35" i="28"/>
  <c r="AP35" i="28"/>
  <c r="AO35" i="28"/>
  <c r="AN35" i="28"/>
  <c r="AM35" i="28"/>
  <c r="AL35" i="28"/>
  <c r="AK35" i="28"/>
  <c r="AJ35" i="28"/>
  <c r="AI35" i="28"/>
  <c r="AH35" i="28"/>
  <c r="AG35" i="28"/>
  <c r="AF35" i="28"/>
  <c r="AE35" i="28"/>
  <c r="AD35" i="28"/>
  <c r="AC35" i="28"/>
  <c r="AB35" i="28"/>
  <c r="AA35" i="28"/>
  <c r="Z35" i="28"/>
  <c r="Y35" i="28"/>
  <c r="X35" i="28"/>
  <c r="W35" i="28"/>
  <c r="T35" i="28"/>
  <c r="H35" i="28"/>
  <c r="A35" i="28"/>
  <c r="AQ33" i="28"/>
  <c r="AP33" i="28"/>
  <c r="AO33" i="28"/>
  <c r="AN33" i="28"/>
  <c r="AM33" i="28"/>
  <c r="AL33" i="28"/>
  <c r="AK33" i="28"/>
  <c r="AJ33" i="28"/>
  <c r="AI33" i="28"/>
  <c r="AH33" i="28"/>
  <c r="AG33" i="28"/>
  <c r="AF33" i="28"/>
  <c r="AE33" i="28"/>
  <c r="AD33" i="28"/>
  <c r="AC33" i="28"/>
  <c r="AB33" i="28"/>
  <c r="AA33" i="28"/>
  <c r="Z33" i="28"/>
  <c r="Y33" i="28"/>
  <c r="X33" i="28"/>
  <c r="W33" i="28"/>
  <c r="T33" i="28"/>
  <c r="R33" i="28"/>
  <c r="H33" i="28"/>
  <c r="A33" i="28"/>
  <c r="AQ31" i="28"/>
  <c r="AP31" i="28"/>
  <c r="AO31" i="28"/>
  <c r="AN31" i="28"/>
  <c r="AM31" i="28"/>
  <c r="AL31" i="28"/>
  <c r="AK31" i="28"/>
  <c r="AJ31" i="28"/>
  <c r="AI31" i="28"/>
  <c r="AH31" i="28"/>
  <c r="AG31" i="28"/>
  <c r="AF31" i="28"/>
  <c r="AE31" i="28"/>
  <c r="AD31" i="28"/>
  <c r="AC31" i="28"/>
  <c r="AB31" i="28"/>
  <c r="AA31" i="28"/>
  <c r="Z31" i="28"/>
  <c r="Y31" i="28"/>
  <c r="X31" i="28"/>
  <c r="W31" i="28"/>
  <c r="T31" i="28"/>
  <c r="H31" i="28"/>
  <c r="A31" i="28"/>
  <c r="G25" i="28"/>
  <c r="G26" i="28" s="1"/>
  <c r="C19" i="28"/>
  <c r="G16" i="28" s="1"/>
  <c r="B19" i="28"/>
  <c r="F16" i="28" s="1"/>
  <c r="B10" i="28"/>
  <c r="B99" i="27"/>
  <c r="P91" i="27"/>
  <c r="T86" i="27" s="1"/>
  <c r="T87" i="27" s="1"/>
  <c r="P90" i="27"/>
  <c r="T89" i="27"/>
  <c r="T90" i="27" s="1"/>
  <c r="U90" i="27" s="1"/>
  <c r="P89" i="27"/>
  <c r="F84" i="27"/>
  <c r="E84" i="27"/>
  <c r="C84" i="27"/>
  <c r="AQ81" i="27"/>
  <c r="AP81" i="27"/>
  <c r="AO81" i="27"/>
  <c r="AN81" i="27"/>
  <c r="AM81" i="27"/>
  <c r="AL81" i="27"/>
  <c r="AK81" i="27"/>
  <c r="AJ81" i="27"/>
  <c r="AI81" i="27"/>
  <c r="AH81" i="27"/>
  <c r="AG81" i="27"/>
  <c r="AF81" i="27"/>
  <c r="AE81" i="27"/>
  <c r="AD81" i="27"/>
  <c r="AC81" i="27"/>
  <c r="AB81" i="27"/>
  <c r="AA81" i="27"/>
  <c r="Z81" i="27"/>
  <c r="Y81" i="27"/>
  <c r="X81" i="27"/>
  <c r="W81" i="27"/>
  <c r="T81" i="27"/>
  <c r="P81" i="27"/>
  <c r="A81" i="27"/>
  <c r="AQ79" i="27"/>
  <c r="AP79" i="27"/>
  <c r="AO79" i="27"/>
  <c r="AN79" i="27"/>
  <c r="AM79" i="27"/>
  <c r="AL79" i="27"/>
  <c r="AK79" i="27"/>
  <c r="AJ79" i="27"/>
  <c r="AI79" i="27"/>
  <c r="AH79" i="27"/>
  <c r="AG79" i="27"/>
  <c r="AF79" i="27"/>
  <c r="AE79" i="27"/>
  <c r="AD79" i="27"/>
  <c r="AC79" i="27"/>
  <c r="AB79" i="27"/>
  <c r="AA79" i="27"/>
  <c r="Z79" i="27"/>
  <c r="Y79" i="27"/>
  <c r="X79" i="27"/>
  <c r="W79" i="27"/>
  <c r="T79" i="27"/>
  <c r="P79" i="27"/>
  <c r="A79" i="27"/>
  <c r="AQ77" i="27"/>
  <c r="AP77" i="27"/>
  <c r="AO77" i="27"/>
  <c r="AN77" i="27"/>
  <c r="AM77" i="27"/>
  <c r="AL77" i="27"/>
  <c r="AK77" i="27"/>
  <c r="AJ77" i="27"/>
  <c r="AI77" i="27"/>
  <c r="AH77" i="27"/>
  <c r="AG77" i="27"/>
  <c r="AF77" i="27"/>
  <c r="AE77" i="27"/>
  <c r="AD77" i="27"/>
  <c r="AC77" i="27"/>
  <c r="AB77" i="27"/>
  <c r="AA77" i="27"/>
  <c r="Z77" i="27"/>
  <c r="Y77" i="27"/>
  <c r="X77" i="27"/>
  <c r="W77" i="27"/>
  <c r="T77" i="27"/>
  <c r="P77" i="27"/>
  <c r="A77" i="27"/>
  <c r="AQ75" i="27"/>
  <c r="AP75" i="27"/>
  <c r="AO75" i="27"/>
  <c r="AN75" i="27"/>
  <c r="AM75" i="27"/>
  <c r="AL75" i="27"/>
  <c r="AK75" i="27"/>
  <c r="AJ75" i="27"/>
  <c r="AI75" i="27"/>
  <c r="AH75" i="27"/>
  <c r="AG75" i="27"/>
  <c r="AF75" i="27"/>
  <c r="AE75" i="27"/>
  <c r="AD75" i="27"/>
  <c r="AC75" i="27"/>
  <c r="AB75" i="27"/>
  <c r="AA75" i="27"/>
  <c r="Z75" i="27"/>
  <c r="Y75" i="27"/>
  <c r="X75" i="27"/>
  <c r="W75" i="27"/>
  <c r="T75" i="27"/>
  <c r="P75" i="27"/>
  <c r="A75" i="27"/>
  <c r="AQ73" i="27"/>
  <c r="AP73" i="27"/>
  <c r="AO73" i="27"/>
  <c r="AN73" i="27"/>
  <c r="AM73" i="27"/>
  <c r="AL73" i="27"/>
  <c r="AK73" i="27"/>
  <c r="AJ73" i="27"/>
  <c r="AI73" i="27"/>
  <c r="AH73" i="27"/>
  <c r="AG73" i="27"/>
  <c r="AF73" i="27"/>
  <c r="AE73" i="27"/>
  <c r="AD73" i="27"/>
  <c r="AC73" i="27"/>
  <c r="AB73" i="27"/>
  <c r="AA73" i="27"/>
  <c r="Z73" i="27"/>
  <c r="Y73" i="27"/>
  <c r="X73" i="27"/>
  <c r="W73" i="27"/>
  <c r="T73" i="27"/>
  <c r="P73" i="27"/>
  <c r="A73" i="27"/>
  <c r="AQ71" i="27"/>
  <c r="AP71" i="27"/>
  <c r="AO71" i="27"/>
  <c r="AN71" i="27"/>
  <c r="AM71" i="27"/>
  <c r="AL71" i="27"/>
  <c r="AK71" i="27"/>
  <c r="AJ71" i="27"/>
  <c r="AI71" i="27"/>
  <c r="AH71" i="27"/>
  <c r="AG71" i="27"/>
  <c r="AF71" i="27"/>
  <c r="AE71" i="27"/>
  <c r="AD71" i="27"/>
  <c r="AC71" i="27"/>
  <c r="AB71" i="27"/>
  <c r="AA71" i="27"/>
  <c r="Z71" i="27"/>
  <c r="Y71" i="27"/>
  <c r="X71" i="27"/>
  <c r="W71" i="27"/>
  <c r="T71" i="27"/>
  <c r="H71" i="27"/>
  <c r="A71" i="27"/>
  <c r="AQ69" i="27"/>
  <c r="AP69" i="27"/>
  <c r="AO69" i="27"/>
  <c r="AN69" i="27"/>
  <c r="AM69" i="27"/>
  <c r="AL69" i="27"/>
  <c r="AK69" i="27"/>
  <c r="AJ69" i="27"/>
  <c r="AI69" i="27"/>
  <c r="AH69" i="27"/>
  <c r="AG69" i="27"/>
  <c r="AF69" i="27"/>
  <c r="AE69" i="27"/>
  <c r="AD69" i="27"/>
  <c r="AC69" i="27"/>
  <c r="AB69" i="27"/>
  <c r="AA69" i="27"/>
  <c r="Z69" i="27"/>
  <c r="Y69" i="27"/>
  <c r="X69" i="27"/>
  <c r="W69" i="27"/>
  <c r="T69" i="27"/>
  <c r="R69" i="27"/>
  <c r="H69" i="27"/>
  <c r="A69" i="27"/>
  <c r="AQ67" i="27"/>
  <c r="AP67" i="27"/>
  <c r="AO67" i="27"/>
  <c r="AN67" i="27"/>
  <c r="AM67" i="27"/>
  <c r="AL67" i="27"/>
  <c r="AK67" i="27"/>
  <c r="AJ67" i="27"/>
  <c r="AI67" i="27"/>
  <c r="AH67" i="27"/>
  <c r="AG67" i="27"/>
  <c r="AF67" i="27"/>
  <c r="AE67" i="27"/>
  <c r="AD67" i="27"/>
  <c r="AC67" i="27"/>
  <c r="AB67" i="27"/>
  <c r="AA67" i="27"/>
  <c r="Z67" i="27"/>
  <c r="Y67" i="27"/>
  <c r="X67" i="27"/>
  <c r="W67" i="27"/>
  <c r="T67" i="27"/>
  <c r="R67" i="27"/>
  <c r="H67" i="27"/>
  <c r="A67" i="27"/>
  <c r="AQ65" i="27"/>
  <c r="AP65" i="27"/>
  <c r="AO65" i="27"/>
  <c r="AN65" i="27"/>
  <c r="AM65" i="27"/>
  <c r="AL65" i="27"/>
  <c r="AK65" i="27"/>
  <c r="AJ65" i="27"/>
  <c r="AI65" i="27"/>
  <c r="AH65" i="27"/>
  <c r="AG65" i="27"/>
  <c r="AF65" i="27"/>
  <c r="AE65" i="27"/>
  <c r="AD65" i="27"/>
  <c r="AC65" i="27"/>
  <c r="AB65" i="27"/>
  <c r="AA65" i="27"/>
  <c r="Z65" i="27"/>
  <c r="Y65" i="27"/>
  <c r="X65" i="27"/>
  <c r="W65" i="27"/>
  <c r="T65" i="27"/>
  <c r="H65" i="27"/>
  <c r="A65" i="27"/>
  <c r="AQ63" i="27"/>
  <c r="AP63" i="27"/>
  <c r="AO63" i="27"/>
  <c r="AN63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T63" i="27"/>
  <c r="H63" i="27"/>
  <c r="A63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T61" i="27"/>
  <c r="R61" i="27"/>
  <c r="H61" i="27"/>
  <c r="A61" i="27"/>
  <c r="AQ59" i="27"/>
  <c r="AP59" i="27"/>
  <c r="AO59" i="27"/>
  <c r="AN59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T59" i="27"/>
  <c r="R59" i="27"/>
  <c r="H59" i="27"/>
  <c r="A59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H57" i="27"/>
  <c r="A57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T55" i="27"/>
  <c r="H55" i="27"/>
  <c r="A55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T53" i="27"/>
  <c r="R53" i="27"/>
  <c r="H53" i="27"/>
  <c r="A53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T51" i="27"/>
  <c r="R51" i="27"/>
  <c r="H51" i="27"/>
  <c r="A51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T49" i="27"/>
  <c r="R49" i="27"/>
  <c r="H49" i="27"/>
  <c r="A49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T47" i="27"/>
  <c r="R47" i="27"/>
  <c r="H47" i="27"/>
  <c r="A47" i="27"/>
  <c r="AQ45" i="27"/>
  <c r="AP45" i="27"/>
  <c r="AO45" i="27"/>
  <c r="AN45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T45" i="27"/>
  <c r="R45" i="27"/>
  <c r="H45" i="27"/>
  <c r="A45" i="27"/>
  <c r="AQ43" i="27"/>
  <c r="AP43" i="27"/>
  <c r="AO43" i="27"/>
  <c r="AN43" i="27"/>
  <c r="AM43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T43" i="27"/>
  <c r="H43" i="27"/>
  <c r="A43" i="27"/>
  <c r="AQ41" i="27"/>
  <c r="AP41" i="27"/>
  <c r="AO41" i="27"/>
  <c r="AN41" i="27"/>
  <c r="AM41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T41" i="27"/>
  <c r="H41" i="27"/>
  <c r="A41" i="27"/>
  <c r="AQ39" i="27"/>
  <c r="AP39" i="27"/>
  <c r="AO39" i="27"/>
  <c r="AN39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T39" i="27"/>
  <c r="H39" i="27"/>
  <c r="A39" i="27"/>
  <c r="AQ37" i="27"/>
  <c r="AP37" i="27"/>
  <c r="AO37" i="27"/>
  <c r="AN37" i="27"/>
  <c r="AM37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T37" i="27"/>
  <c r="H37" i="27"/>
  <c r="A37" i="27"/>
  <c r="AQ35" i="27"/>
  <c r="AP35" i="27"/>
  <c r="AO35" i="27"/>
  <c r="AN35" i="27"/>
  <c r="AM35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T35" i="27"/>
  <c r="H35" i="27"/>
  <c r="A35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T33" i="27"/>
  <c r="R33" i="27"/>
  <c r="H33" i="27"/>
  <c r="A33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T31" i="27"/>
  <c r="H31" i="27"/>
  <c r="A31" i="27"/>
  <c r="G25" i="27"/>
  <c r="G26" i="27" s="1"/>
  <c r="C19" i="27"/>
  <c r="G16" i="27" s="1"/>
  <c r="B19" i="27"/>
  <c r="F16" i="27" s="1"/>
  <c r="G14" i="27"/>
  <c r="F14" i="27"/>
  <c r="B10" i="27"/>
  <c r="B99" i="26"/>
  <c r="P91" i="26"/>
  <c r="U87" i="26" s="1"/>
  <c r="P90" i="26"/>
  <c r="B79" i="12" s="1"/>
  <c r="T89" i="26"/>
  <c r="T90" i="26" s="1"/>
  <c r="U90" i="26" s="1"/>
  <c r="P89" i="26"/>
  <c r="B78" i="12" s="1"/>
  <c r="F84" i="26"/>
  <c r="E84" i="26"/>
  <c r="C84" i="26"/>
  <c r="AQ81" i="26"/>
  <c r="AP81" i="26"/>
  <c r="AO81" i="26"/>
  <c r="AN81" i="26"/>
  <c r="AM81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T81" i="26"/>
  <c r="P81" i="26"/>
  <c r="A81" i="26"/>
  <c r="AQ79" i="26"/>
  <c r="AP79" i="26"/>
  <c r="AO79" i="26"/>
  <c r="AN79" i="26"/>
  <c r="AM79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T79" i="26"/>
  <c r="P79" i="26"/>
  <c r="A79" i="26"/>
  <c r="AQ77" i="26"/>
  <c r="AP77" i="26"/>
  <c r="AO77" i="26"/>
  <c r="AN77" i="26"/>
  <c r="AM77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T77" i="26"/>
  <c r="P77" i="26"/>
  <c r="A77" i="26"/>
  <c r="AQ75" i="26"/>
  <c r="AP75" i="26"/>
  <c r="AO75" i="26"/>
  <c r="AN75" i="26"/>
  <c r="AM75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T75" i="26"/>
  <c r="P75" i="26"/>
  <c r="A75" i="26"/>
  <c r="AQ73" i="26"/>
  <c r="AP73" i="26"/>
  <c r="AO73" i="26"/>
  <c r="AN73" i="26"/>
  <c r="AM73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T73" i="26"/>
  <c r="P73" i="26"/>
  <c r="A73" i="26"/>
  <c r="AQ71" i="26"/>
  <c r="AP71" i="26"/>
  <c r="AO71" i="26"/>
  <c r="AN71" i="26"/>
  <c r="AM71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T71" i="26"/>
  <c r="H71" i="26"/>
  <c r="A71" i="26"/>
  <c r="AQ69" i="26"/>
  <c r="AP69" i="26"/>
  <c r="AO69" i="26"/>
  <c r="AN69" i="26"/>
  <c r="AM69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T69" i="26"/>
  <c r="R69" i="26"/>
  <c r="H69" i="26"/>
  <c r="A69" i="26"/>
  <c r="AQ67" i="26"/>
  <c r="AP67" i="26"/>
  <c r="AO67" i="26"/>
  <c r="AN67" i="26"/>
  <c r="AM67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T67" i="26"/>
  <c r="R67" i="26"/>
  <c r="H67" i="26"/>
  <c r="A67" i="26"/>
  <c r="AQ65" i="26"/>
  <c r="AP65" i="26"/>
  <c r="AO65" i="26"/>
  <c r="AN65" i="26"/>
  <c r="AM65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T65" i="26"/>
  <c r="H65" i="26"/>
  <c r="A65" i="26"/>
  <c r="AQ63" i="26"/>
  <c r="AP63" i="26"/>
  <c r="AO63" i="26"/>
  <c r="AN63" i="26"/>
  <c r="AM63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T63" i="26"/>
  <c r="H63" i="26"/>
  <c r="A63" i="26"/>
  <c r="AQ61" i="26"/>
  <c r="AP61" i="26"/>
  <c r="AO61" i="26"/>
  <c r="AN61" i="26"/>
  <c r="AM61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T61" i="26"/>
  <c r="R61" i="26"/>
  <c r="H61" i="26"/>
  <c r="A61" i="26"/>
  <c r="AQ59" i="26"/>
  <c r="AP59" i="26"/>
  <c r="AO59" i="26"/>
  <c r="AN59" i="26"/>
  <c r="AM59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T59" i="26"/>
  <c r="R59" i="26"/>
  <c r="H59" i="26"/>
  <c r="A59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H57" i="26"/>
  <c r="A57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T55" i="26"/>
  <c r="H55" i="26"/>
  <c r="A55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T53" i="26"/>
  <c r="R53" i="26"/>
  <c r="H53" i="26"/>
  <c r="A53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T51" i="26"/>
  <c r="R51" i="26"/>
  <c r="H51" i="26"/>
  <c r="A51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T49" i="26"/>
  <c r="R49" i="26"/>
  <c r="H49" i="26"/>
  <c r="A49" i="26"/>
  <c r="AQ47" i="26"/>
  <c r="AP47" i="26"/>
  <c r="AO47" i="26"/>
  <c r="AN47" i="26"/>
  <c r="AM47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T47" i="26"/>
  <c r="R47" i="26"/>
  <c r="H47" i="26"/>
  <c r="A47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T45" i="26"/>
  <c r="R45" i="26"/>
  <c r="H45" i="26"/>
  <c r="A45" i="26"/>
  <c r="AQ43" i="26"/>
  <c r="AP43" i="26"/>
  <c r="AO43" i="26"/>
  <c r="AN43" i="26"/>
  <c r="AM43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T43" i="26"/>
  <c r="H43" i="26"/>
  <c r="A43" i="26"/>
  <c r="AQ41" i="26"/>
  <c r="AP41" i="26"/>
  <c r="AO41" i="26"/>
  <c r="AN41" i="26"/>
  <c r="AM41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T41" i="26"/>
  <c r="H41" i="26"/>
  <c r="A41" i="26"/>
  <c r="AQ39" i="26"/>
  <c r="AP39" i="26"/>
  <c r="AO39" i="26"/>
  <c r="AN39" i="26"/>
  <c r="AM39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T39" i="26"/>
  <c r="H39" i="26"/>
  <c r="A39" i="26"/>
  <c r="AQ37" i="26"/>
  <c r="AP37" i="26"/>
  <c r="AO37" i="26"/>
  <c r="AN37" i="26"/>
  <c r="AM37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T37" i="26"/>
  <c r="H37" i="26"/>
  <c r="A37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T35" i="26"/>
  <c r="H35" i="26"/>
  <c r="A35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T33" i="26"/>
  <c r="R33" i="26"/>
  <c r="H33" i="26"/>
  <c r="A33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T31" i="26"/>
  <c r="H31" i="26"/>
  <c r="A31" i="26"/>
  <c r="G25" i="26"/>
  <c r="G26" i="26" s="1"/>
  <c r="C19" i="26"/>
  <c r="G15" i="26" s="1"/>
  <c r="B19" i="26"/>
  <c r="F15" i="26" s="1"/>
  <c r="B10" i="26"/>
  <c r="B99" i="25"/>
  <c r="P91" i="25"/>
  <c r="U87" i="25" s="1"/>
  <c r="P90" i="25"/>
  <c r="T89" i="25"/>
  <c r="T90" i="25" s="1"/>
  <c r="U90" i="25" s="1"/>
  <c r="P89" i="25"/>
  <c r="F84" i="25"/>
  <c r="E84" i="25"/>
  <c r="C84" i="25"/>
  <c r="AQ81" i="25"/>
  <c r="AP81" i="25"/>
  <c r="AO81" i="25"/>
  <c r="AN81" i="25"/>
  <c r="AM81" i="25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T81" i="25"/>
  <c r="P81" i="25"/>
  <c r="A81" i="25"/>
  <c r="AQ79" i="25"/>
  <c r="AP79" i="25"/>
  <c r="AO79" i="25"/>
  <c r="AN79" i="25"/>
  <c r="AM79" i="25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T79" i="25"/>
  <c r="P79" i="25"/>
  <c r="A79" i="25"/>
  <c r="AQ77" i="25"/>
  <c r="AP77" i="25"/>
  <c r="AO77" i="25"/>
  <c r="AN77" i="25"/>
  <c r="AM77" i="25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T77" i="25"/>
  <c r="P77" i="25"/>
  <c r="A77" i="25"/>
  <c r="AQ75" i="25"/>
  <c r="AP75" i="25"/>
  <c r="AO75" i="25"/>
  <c r="AN75" i="25"/>
  <c r="AM75" i="25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T75" i="25"/>
  <c r="P75" i="25"/>
  <c r="A75" i="25"/>
  <c r="AQ73" i="25"/>
  <c r="AP73" i="25"/>
  <c r="AO73" i="25"/>
  <c r="AN73" i="25"/>
  <c r="AM73" i="25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T73" i="25"/>
  <c r="P73" i="25"/>
  <c r="A73" i="25"/>
  <c r="AQ71" i="25"/>
  <c r="AP71" i="25"/>
  <c r="AO71" i="25"/>
  <c r="AN71" i="25"/>
  <c r="AM71" i="25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T71" i="25"/>
  <c r="H71" i="25"/>
  <c r="A71" i="25"/>
  <c r="AQ69" i="25"/>
  <c r="AP69" i="25"/>
  <c r="AO69" i="25"/>
  <c r="AN69" i="25"/>
  <c r="AM69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T69" i="25"/>
  <c r="R69" i="25"/>
  <c r="H69" i="25"/>
  <c r="A69" i="25"/>
  <c r="AQ67" i="25"/>
  <c r="AP67" i="25"/>
  <c r="AO67" i="25"/>
  <c r="AN67" i="25"/>
  <c r="AM67" i="25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T67" i="25"/>
  <c r="R67" i="25"/>
  <c r="H67" i="25"/>
  <c r="A67" i="25"/>
  <c r="AQ65" i="25"/>
  <c r="AP65" i="25"/>
  <c r="AO65" i="25"/>
  <c r="AN65" i="25"/>
  <c r="AM65" i="25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T65" i="25"/>
  <c r="H65" i="25"/>
  <c r="A65" i="25"/>
  <c r="AQ63" i="25"/>
  <c r="AP63" i="25"/>
  <c r="AO63" i="25"/>
  <c r="AN63" i="25"/>
  <c r="AM63" i="25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T63" i="25"/>
  <c r="H63" i="25"/>
  <c r="A63" i="25"/>
  <c r="AQ61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T61" i="25"/>
  <c r="R61" i="25"/>
  <c r="H61" i="25"/>
  <c r="A61" i="25"/>
  <c r="AQ59" i="25"/>
  <c r="AP59" i="25"/>
  <c r="AO59" i="25"/>
  <c r="AN59" i="25"/>
  <c r="AM59" i="25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T59" i="25"/>
  <c r="R59" i="25"/>
  <c r="H59" i="25"/>
  <c r="A59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H57" i="25"/>
  <c r="A57" i="25"/>
  <c r="AQ55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T55" i="25"/>
  <c r="H55" i="25"/>
  <c r="A55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T53" i="25"/>
  <c r="R53" i="25"/>
  <c r="H53" i="25"/>
  <c r="A53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T51" i="25"/>
  <c r="R51" i="25"/>
  <c r="H51" i="25"/>
  <c r="A51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T49" i="25"/>
  <c r="R49" i="25"/>
  <c r="H49" i="25"/>
  <c r="A49" i="25"/>
  <c r="AQ47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T47" i="25"/>
  <c r="R47" i="25"/>
  <c r="H47" i="25"/>
  <c r="A47" i="25"/>
  <c r="AQ45" i="25"/>
  <c r="AP45" i="25"/>
  <c r="AO45" i="25"/>
  <c r="AN45" i="25"/>
  <c r="AM45" i="25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T45" i="25"/>
  <c r="R45" i="25"/>
  <c r="H45" i="25"/>
  <c r="A45" i="25"/>
  <c r="AQ43" i="25"/>
  <c r="AP43" i="25"/>
  <c r="AO43" i="25"/>
  <c r="AN43" i="25"/>
  <c r="AM43" i="25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T43" i="25"/>
  <c r="H43" i="25"/>
  <c r="A43" i="25"/>
  <c r="AQ41" i="25"/>
  <c r="AP41" i="25"/>
  <c r="AO41" i="25"/>
  <c r="AN41" i="25"/>
  <c r="AM41" i="25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T41" i="25"/>
  <c r="H41" i="25"/>
  <c r="A41" i="25"/>
  <c r="AQ39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T39" i="25"/>
  <c r="H39" i="25"/>
  <c r="A39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T37" i="25"/>
  <c r="H37" i="25"/>
  <c r="A37" i="25"/>
  <c r="AQ35" i="25"/>
  <c r="AP35" i="25"/>
  <c r="AO35" i="25"/>
  <c r="AN35" i="25"/>
  <c r="AM35" i="25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T35" i="25"/>
  <c r="H35" i="25"/>
  <c r="A35" i="25"/>
  <c r="AQ33" i="25"/>
  <c r="AP33" i="25"/>
  <c r="AO33" i="25"/>
  <c r="AN33" i="25"/>
  <c r="AM33" i="25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T33" i="25"/>
  <c r="R33" i="25"/>
  <c r="H33" i="25"/>
  <c r="A33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T31" i="25"/>
  <c r="H31" i="25"/>
  <c r="A31" i="25"/>
  <c r="G25" i="25"/>
  <c r="G26" i="25" s="1"/>
  <c r="C19" i="25"/>
  <c r="G14" i="25" s="1"/>
  <c r="B19" i="25"/>
  <c r="F15" i="25" s="1"/>
  <c r="B10" i="25"/>
  <c r="B99" i="24"/>
  <c r="P91" i="24"/>
  <c r="T86" i="24" s="1"/>
  <c r="T87" i="24" s="1"/>
  <c r="P90" i="24"/>
  <c r="T89" i="24"/>
  <c r="T90" i="24" s="1"/>
  <c r="U90" i="24" s="1"/>
  <c r="P89" i="24"/>
  <c r="F84" i="24"/>
  <c r="E84" i="24"/>
  <c r="C84" i="24"/>
  <c r="AQ81" i="24"/>
  <c r="AP81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T81" i="24"/>
  <c r="P81" i="24"/>
  <c r="A81" i="24"/>
  <c r="AQ79" i="24"/>
  <c r="AP79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T79" i="24"/>
  <c r="P79" i="24"/>
  <c r="A79" i="24"/>
  <c r="AQ77" i="24"/>
  <c r="AP77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T77" i="24"/>
  <c r="P77" i="24"/>
  <c r="A77" i="24"/>
  <c r="AQ75" i="24"/>
  <c r="AP75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T75" i="24"/>
  <c r="P75" i="24"/>
  <c r="A75" i="24"/>
  <c r="AQ73" i="24"/>
  <c r="AP73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T73" i="24"/>
  <c r="P73" i="24"/>
  <c r="A73" i="24"/>
  <c r="AQ71" i="24"/>
  <c r="AP71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T71" i="24"/>
  <c r="H71" i="24"/>
  <c r="A71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T69" i="24"/>
  <c r="R69" i="24"/>
  <c r="H69" i="24"/>
  <c r="A69" i="24"/>
  <c r="AQ67" i="24"/>
  <c r="AP67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T67" i="24"/>
  <c r="R67" i="24"/>
  <c r="H67" i="24"/>
  <c r="A67" i="24"/>
  <c r="AQ65" i="24"/>
  <c r="AP65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T65" i="24"/>
  <c r="H65" i="24"/>
  <c r="A65" i="24"/>
  <c r="AQ63" i="24"/>
  <c r="AP63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T63" i="24"/>
  <c r="H63" i="24"/>
  <c r="A63" i="24"/>
  <c r="AQ61" i="24"/>
  <c r="AP61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T61" i="24"/>
  <c r="R61" i="24"/>
  <c r="H61" i="24"/>
  <c r="A61" i="24"/>
  <c r="AQ59" i="24"/>
  <c r="AP59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T59" i="24"/>
  <c r="R59" i="24"/>
  <c r="H59" i="24"/>
  <c r="A59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H57" i="24"/>
  <c r="A57" i="24"/>
  <c r="AQ55" i="24"/>
  <c r="AP55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T55" i="24"/>
  <c r="H55" i="24"/>
  <c r="A55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T53" i="24"/>
  <c r="R53" i="24"/>
  <c r="H53" i="24"/>
  <c r="A53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T51" i="24"/>
  <c r="R51" i="24"/>
  <c r="H51" i="24"/>
  <c r="A51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T49" i="24"/>
  <c r="R49" i="24"/>
  <c r="H49" i="24"/>
  <c r="A49" i="24"/>
  <c r="AQ47" i="24"/>
  <c r="AP47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T47" i="24"/>
  <c r="R47" i="24"/>
  <c r="H47" i="24"/>
  <c r="A47" i="24"/>
  <c r="AQ45" i="24"/>
  <c r="AP45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T45" i="24"/>
  <c r="R45" i="24"/>
  <c r="H45" i="24"/>
  <c r="A45" i="24"/>
  <c r="AQ43" i="24"/>
  <c r="AP43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T43" i="24"/>
  <c r="H43" i="24"/>
  <c r="A43" i="24"/>
  <c r="AQ41" i="24"/>
  <c r="AP41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T41" i="24"/>
  <c r="H41" i="24"/>
  <c r="A41" i="24"/>
  <c r="AQ39" i="24"/>
  <c r="AP39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T39" i="24"/>
  <c r="H39" i="24"/>
  <c r="A39" i="24"/>
  <c r="AQ37" i="24"/>
  <c r="AP37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T37" i="24"/>
  <c r="H37" i="24"/>
  <c r="A37" i="24"/>
  <c r="AQ35" i="24"/>
  <c r="AP35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T35" i="24"/>
  <c r="H35" i="24"/>
  <c r="A35" i="24"/>
  <c r="AQ33" i="24"/>
  <c r="AP33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T33" i="24"/>
  <c r="R33" i="24"/>
  <c r="H33" i="24"/>
  <c r="A33" i="24"/>
  <c r="AQ31" i="24"/>
  <c r="AP31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T31" i="24"/>
  <c r="H31" i="24"/>
  <c r="A31" i="24"/>
  <c r="G25" i="24"/>
  <c r="G26" i="24" s="1"/>
  <c r="C19" i="24"/>
  <c r="G15" i="24" s="1"/>
  <c r="B19" i="24"/>
  <c r="F14" i="24" s="1"/>
  <c r="G16" i="24"/>
  <c r="F16" i="24"/>
  <c r="B10" i="24"/>
  <c r="T89" i="2"/>
  <c r="R33" i="2"/>
  <c r="AA35" i="2"/>
  <c r="AA37" i="2"/>
  <c r="AA39" i="2"/>
  <c r="AA41" i="2"/>
  <c r="AA43" i="2"/>
  <c r="AA45" i="2"/>
  <c r="AA47" i="2"/>
  <c r="AA49" i="2"/>
  <c r="AA51" i="2"/>
  <c r="AA53" i="2"/>
  <c r="AA55" i="2"/>
  <c r="AA57" i="2"/>
  <c r="AA59" i="2"/>
  <c r="AA61" i="2"/>
  <c r="AA63" i="2"/>
  <c r="AA65" i="2"/>
  <c r="AA67" i="2"/>
  <c r="AA69" i="2"/>
  <c r="AA71" i="2"/>
  <c r="AA73" i="2"/>
  <c r="AA75" i="2"/>
  <c r="AA77" i="2"/>
  <c r="AA79" i="2"/>
  <c r="AA81" i="2"/>
  <c r="X33" i="2"/>
  <c r="X35" i="2"/>
  <c r="X37" i="2"/>
  <c r="X39" i="2"/>
  <c r="X41" i="2"/>
  <c r="X43" i="2"/>
  <c r="X45" i="2"/>
  <c r="X47" i="2"/>
  <c r="X49" i="2"/>
  <c r="X51" i="2"/>
  <c r="X53" i="2"/>
  <c r="X55" i="2"/>
  <c r="X57" i="2"/>
  <c r="X59" i="2"/>
  <c r="X61" i="2"/>
  <c r="X63" i="2"/>
  <c r="X65" i="2"/>
  <c r="X67" i="2"/>
  <c r="X69" i="2"/>
  <c r="X71" i="2"/>
  <c r="X73" i="2"/>
  <c r="X75" i="2"/>
  <c r="X77" i="2"/>
  <c r="X79" i="2"/>
  <c r="X81" i="2"/>
  <c r="Y33" i="2"/>
  <c r="W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AA31" i="2"/>
  <c r="X31" i="2"/>
  <c r="T33" i="2"/>
  <c r="H33" i="2"/>
  <c r="A33" i="2"/>
  <c r="X85" i="29" l="1"/>
  <c r="L33" i="29" s="1"/>
  <c r="AF85" i="29"/>
  <c r="L49" i="29" s="1"/>
  <c r="M49" i="29" s="1"/>
  <c r="AN85" i="29"/>
  <c r="L65" i="29" s="1"/>
  <c r="F14" i="26"/>
  <c r="G14" i="26"/>
  <c r="G15" i="27"/>
  <c r="G17" i="27" s="1"/>
  <c r="AC85" i="25"/>
  <c r="L43" i="25" s="1"/>
  <c r="AK85" i="25"/>
  <c r="L59" i="25" s="1"/>
  <c r="M59" i="25" s="1"/>
  <c r="AD85" i="26"/>
  <c r="L45" i="26" s="1"/>
  <c r="M45" i="26" s="1"/>
  <c r="AL85" i="26"/>
  <c r="L61" i="26" s="1"/>
  <c r="M61" i="26" s="1"/>
  <c r="P61" i="26" s="1"/>
  <c r="B110" i="26" s="1"/>
  <c r="Y85" i="28"/>
  <c r="L35" i="28" s="1"/>
  <c r="M35" i="28" s="1"/>
  <c r="AG85" i="28"/>
  <c r="L51" i="28" s="1"/>
  <c r="M51" i="28" s="1"/>
  <c r="AO85" i="28"/>
  <c r="L67" i="28" s="1"/>
  <c r="M67" i="28" s="1"/>
  <c r="F14" i="31"/>
  <c r="AI85" i="24"/>
  <c r="L55" i="24" s="1"/>
  <c r="M55" i="24" s="1"/>
  <c r="AA85" i="32"/>
  <c r="L39" i="32" s="1"/>
  <c r="M39" i="32" s="1"/>
  <c r="P39" i="32" s="1"/>
  <c r="Q39" i="32" s="1"/>
  <c r="AI85" i="32"/>
  <c r="L55" i="32" s="1"/>
  <c r="M55" i="32" s="1"/>
  <c r="AQ85" i="32"/>
  <c r="L71" i="32" s="1"/>
  <c r="M71" i="32" s="1"/>
  <c r="P71" i="32" s="1"/>
  <c r="Q71" i="32" s="1"/>
  <c r="AQ85" i="24"/>
  <c r="L71" i="24" s="1"/>
  <c r="M71" i="24" s="1"/>
  <c r="P71" i="24" s="1"/>
  <c r="Z85" i="31"/>
  <c r="L37" i="31" s="1"/>
  <c r="M37" i="31" s="1"/>
  <c r="P37" i="31" s="1"/>
  <c r="B98" i="31" s="1"/>
  <c r="AH85" i="31"/>
  <c r="L53" i="31" s="1"/>
  <c r="M53" i="31" s="1"/>
  <c r="P53" i="31" s="1"/>
  <c r="B106" i="31" s="1"/>
  <c r="AP85" i="31"/>
  <c r="L69" i="31" s="1"/>
  <c r="M69" i="31" s="1"/>
  <c r="AA85" i="24"/>
  <c r="L39" i="24" s="1"/>
  <c r="M39" i="24" s="1"/>
  <c r="P39" i="24" s="1"/>
  <c r="Q39" i="24" s="1"/>
  <c r="Y85" i="30"/>
  <c r="L35" i="30" s="1"/>
  <c r="M35" i="30" s="1"/>
  <c r="P35" i="30" s="1"/>
  <c r="B97" i="30" s="1"/>
  <c r="AG85" i="30"/>
  <c r="L51" i="30" s="1"/>
  <c r="M51" i="30" s="1"/>
  <c r="AO85" i="30"/>
  <c r="L67" i="30" s="1"/>
  <c r="M67" i="30" s="1"/>
  <c r="P67" i="30" s="1"/>
  <c r="B113" i="30" s="1"/>
  <c r="G14" i="24"/>
  <c r="G17" i="24" s="1"/>
  <c r="AD85" i="27"/>
  <c r="L45" i="27" s="1"/>
  <c r="M45" i="27" s="1"/>
  <c r="P45" i="27" s="1"/>
  <c r="B102" i="27" s="1"/>
  <c r="AL85" i="27"/>
  <c r="L61" i="27" s="1"/>
  <c r="M61" i="27" s="1"/>
  <c r="P61" i="27" s="1"/>
  <c r="B110" i="27" s="1"/>
  <c r="AB85" i="24"/>
  <c r="L41" i="24" s="1"/>
  <c r="M41" i="24" s="1"/>
  <c r="P41" i="24" s="1"/>
  <c r="B100" i="24" s="1"/>
  <c r="W85" i="26"/>
  <c r="L31" i="26" s="1"/>
  <c r="M31" i="26" s="1"/>
  <c r="AP85" i="28"/>
  <c r="L69" i="28" s="1"/>
  <c r="M69" i="28" s="1"/>
  <c r="Y85" i="29"/>
  <c r="L35" i="29" s="1"/>
  <c r="AH85" i="30"/>
  <c r="L53" i="30" s="1"/>
  <c r="M53" i="30" s="1"/>
  <c r="AA85" i="31"/>
  <c r="L39" i="31" s="1"/>
  <c r="M39" i="31" s="1"/>
  <c r="P39" i="31" s="1"/>
  <c r="Q39" i="31" s="1"/>
  <c r="AB85" i="32"/>
  <c r="L41" i="32" s="1"/>
  <c r="M41" i="32" s="1"/>
  <c r="W85" i="25"/>
  <c r="L31" i="25" s="1"/>
  <c r="M31" i="25" s="1"/>
  <c r="P31" i="25" s="1"/>
  <c r="AN85" i="26"/>
  <c r="L65" i="26" s="1"/>
  <c r="M65" i="26" s="1"/>
  <c r="X85" i="27"/>
  <c r="L33" i="27" s="1"/>
  <c r="M33" i="27" s="1"/>
  <c r="AQ85" i="28"/>
  <c r="L71" i="28" s="1"/>
  <c r="R71" i="28" s="1"/>
  <c r="T84" i="28" s="1"/>
  <c r="B124" i="12" s="1"/>
  <c r="AP85" i="29"/>
  <c r="L69" i="29" s="1"/>
  <c r="M69" i="29" s="1"/>
  <c r="P69" i="29" s="1"/>
  <c r="B114" i="29" s="1"/>
  <c r="AN85" i="24"/>
  <c r="L65" i="24" s="1"/>
  <c r="M65" i="24" s="1"/>
  <c r="P65" i="24" s="1"/>
  <c r="B112" i="24" s="1"/>
  <c r="AH85" i="25"/>
  <c r="L53" i="25" s="1"/>
  <c r="M53" i="25" s="1"/>
  <c r="P53" i="25" s="1"/>
  <c r="B106" i="25" s="1"/>
  <c r="Z85" i="24"/>
  <c r="L37" i="24" s="1"/>
  <c r="M37" i="24" s="1"/>
  <c r="P37" i="24" s="1"/>
  <c r="B98" i="24" s="1"/>
  <c r="AH85" i="24"/>
  <c r="L53" i="24" s="1"/>
  <c r="M53" i="24" s="1"/>
  <c r="P53" i="24" s="1"/>
  <c r="B106" i="24" s="1"/>
  <c r="AP85" i="24"/>
  <c r="L69" i="24" s="1"/>
  <c r="M69" i="24" s="1"/>
  <c r="P93" i="24"/>
  <c r="AB85" i="25"/>
  <c r="L41" i="25" s="1"/>
  <c r="M41" i="25" s="1"/>
  <c r="P41" i="25" s="1"/>
  <c r="B100" i="25" s="1"/>
  <c r="AJ85" i="25"/>
  <c r="L57" i="25" s="1"/>
  <c r="M57" i="25" s="1"/>
  <c r="AC85" i="26"/>
  <c r="L43" i="26" s="1"/>
  <c r="M43" i="26" s="1"/>
  <c r="AK85" i="26"/>
  <c r="L59" i="26" s="1"/>
  <c r="M59" i="26" s="1"/>
  <c r="P59" i="26" s="1"/>
  <c r="B109" i="26" s="1"/>
  <c r="AC85" i="27"/>
  <c r="L43" i="27" s="1"/>
  <c r="M43" i="27" s="1"/>
  <c r="P43" i="27" s="1"/>
  <c r="B101" i="27" s="1"/>
  <c r="AK85" i="27"/>
  <c r="L59" i="27" s="1"/>
  <c r="M59" i="27" s="1"/>
  <c r="X85" i="28"/>
  <c r="L33" i="28" s="1"/>
  <c r="M33" i="28" s="1"/>
  <c r="P33" i="28" s="1"/>
  <c r="B96" i="28" s="1"/>
  <c r="AF85" i="28"/>
  <c r="L49" i="28" s="1"/>
  <c r="M49" i="28" s="1"/>
  <c r="P49" i="28" s="1"/>
  <c r="B104" i="28" s="1"/>
  <c r="AN85" i="28"/>
  <c r="L65" i="28" s="1"/>
  <c r="M65" i="28" s="1"/>
  <c r="P65" i="28" s="1"/>
  <c r="B112" i="28" s="1"/>
  <c r="F15" i="29"/>
  <c r="F17" i="29" s="1"/>
  <c r="W85" i="29"/>
  <c r="L31" i="29" s="1"/>
  <c r="M31" i="29" s="1"/>
  <c r="AE85" i="29"/>
  <c r="L47" i="29" s="1"/>
  <c r="M47" i="29" s="1"/>
  <c r="AM85" i="29"/>
  <c r="L63" i="29" s="1"/>
  <c r="M63" i="29" s="1"/>
  <c r="P63" i="29" s="1"/>
  <c r="B111" i="29" s="1"/>
  <c r="G14" i="30"/>
  <c r="X85" i="30"/>
  <c r="L33" i="30" s="1"/>
  <c r="M33" i="30" s="1"/>
  <c r="P33" i="30" s="1"/>
  <c r="B96" i="30" s="1"/>
  <c r="AF85" i="30"/>
  <c r="L49" i="30" s="1"/>
  <c r="M49" i="30" s="1"/>
  <c r="P49" i="30" s="1"/>
  <c r="B104" i="30" s="1"/>
  <c r="AN85" i="30"/>
  <c r="L65" i="30" s="1"/>
  <c r="M65" i="30" s="1"/>
  <c r="Y85" i="31"/>
  <c r="L35" i="31" s="1"/>
  <c r="AG85" i="31"/>
  <c r="L51" i="31" s="1"/>
  <c r="M51" i="31" s="1"/>
  <c r="AO85" i="31"/>
  <c r="L67" i="31" s="1"/>
  <c r="M67" i="31" s="1"/>
  <c r="Z85" i="32"/>
  <c r="L37" i="32" s="1"/>
  <c r="M37" i="32" s="1"/>
  <c r="P37" i="32" s="1"/>
  <c r="B98" i="32" s="1"/>
  <c r="AH85" i="32"/>
  <c r="L53" i="32" s="1"/>
  <c r="M53" i="32" s="1"/>
  <c r="P53" i="32" s="1"/>
  <c r="B106" i="32" s="1"/>
  <c r="AP85" i="32"/>
  <c r="L69" i="32" s="1"/>
  <c r="M69" i="32" s="1"/>
  <c r="P93" i="32"/>
  <c r="B167" i="12"/>
  <c r="AD85" i="25"/>
  <c r="L45" i="25" s="1"/>
  <c r="M45" i="25" s="1"/>
  <c r="P45" i="25" s="1"/>
  <c r="B102" i="25" s="1"/>
  <c r="AM85" i="26"/>
  <c r="L63" i="26" s="1"/>
  <c r="M63" i="26" s="1"/>
  <c r="AM85" i="27"/>
  <c r="L63" i="27" s="1"/>
  <c r="M63" i="27" s="1"/>
  <c r="Z85" i="28"/>
  <c r="L37" i="28" s="1"/>
  <c r="M37" i="28" s="1"/>
  <c r="P37" i="28" s="1"/>
  <c r="B98" i="28" s="1"/>
  <c r="AO85" i="29"/>
  <c r="L67" i="29" s="1"/>
  <c r="M67" i="29" s="1"/>
  <c r="P67" i="29" s="1"/>
  <c r="B113" i="29" s="1"/>
  <c r="AQ85" i="31"/>
  <c r="L71" i="31" s="1"/>
  <c r="R71" i="31" s="1"/>
  <c r="T84" i="31" s="1"/>
  <c r="B187" i="12" s="1"/>
  <c r="B169" i="12"/>
  <c r="AC85" i="24"/>
  <c r="L43" i="24" s="1"/>
  <c r="M43" i="24" s="1"/>
  <c r="X85" i="26"/>
  <c r="L33" i="26" s="1"/>
  <c r="M33" i="26" s="1"/>
  <c r="P33" i="26" s="1"/>
  <c r="B96" i="26" s="1"/>
  <c r="AA85" i="28"/>
  <c r="L39" i="28" s="1"/>
  <c r="M39" i="28" s="1"/>
  <c r="P39" i="28" s="1"/>
  <c r="Q39" i="28" s="1"/>
  <c r="AH85" i="29"/>
  <c r="L53" i="29" s="1"/>
  <c r="M53" i="29" s="1"/>
  <c r="P53" i="29" s="1"/>
  <c r="B106" i="29" s="1"/>
  <c r="AQ85" i="30"/>
  <c r="L71" i="30" s="1"/>
  <c r="M71" i="30" s="1"/>
  <c r="P71" i="30" s="1"/>
  <c r="AJ85" i="31"/>
  <c r="L57" i="31" s="1"/>
  <c r="M57" i="31" s="1"/>
  <c r="AC85" i="32"/>
  <c r="L43" i="32" s="1"/>
  <c r="M43" i="32" s="1"/>
  <c r="P43" i="32" s="1"/>
  <c r="B101" i="32" s="1"/>
  <c r="AD85" i="24"/>
  <c r="L45" i="24" s="1"/>
  <c r="M45" i="24" s="1"/>
  <c r="P45" i="24" s="1"/>
  <c r="B102" i="24" s="1"/>
  <c r="AL85" i="24"/>
  <c r="L61" i="24" s="1"/>
  <c r="M61" i="24" s="1"/>
  <c r="P61" i="24" s="1"/>
  <c r="B110" i="24" s="1"/>
  <c r="X85" i="25"/>
  <c r="L33" i="25" s="1"/>
  <c r="M33" i="25" s="1"/>
  <c r="P33" i="25" s="1"/>
  <c r="B96" i="25" s="1"/>
  <c r="AF85" i="25"/>
  <c r="L49" i="25" s="1"/>
  <c r="M49" i="25" s="1"/>
  <c r="AN85" i="25"/>
  <c r="L65" i="25" s="1"/>
  <c r="M65" i="25" s="1"/>
  <c r="Y85" i="26"/>
  <c r="L35" i="26" s="1"/>
  <c r="M35" i="26" s="1"/>
  <c r="P35" i="26" s="1"/>
  <c r="B97" i="26" s="1"/>
  <c r="AG85" i="26"/>
  <c r="L51" i="26" s="1"/>
  <c r="M51" i="26" s="1"/>
  <c r="AO85" i="26"/>
  <c r="L67" i="26" s="1"/>
  <c r="M67" i="26" s="1"/>
  <c r="Y85" i="27"/>
  <c r="L35" i="27" s="1"/>
  <c r="M35" i="27" s="1"/>
  <c r="P35" i="27" s="1"/>
  <c r="B97" i="27" s="1"/>
  <c r="AG85" i="27"/>
  <c r="L51" i="27" s="1"/>
  <c r="M51" i="27" s="1"/>
  <c r="AO85" i="27"/>
  <c r="L67" i="27" s="1"/>
  <c r="M67" i="27" s="1"/>
  <c r="P67" i="27" s="1"/>
  <c r="B113" i="27" s="1"/>
  <c r="AB85" i="28"/>
  <c r="L41" i="28" s="1"/>
  <c r="M41" i="28" s="1"/>
  <c r="P41" i="28" s="1"/>
  <c r="B100" i="28" s="1"/>
  <c r="AJ85" i="28"/>
  <c r="L57" i="28" s="1"/>
  <c r="M57" i="28" s="1"/>
  <c r="AA85" i="29"/>
  <c r="L39" i="29" s="1"/>
  <c r="M39" i="29" s="1"/>
  <c r="AI85" i="29"/>
  <c r="L55" i="29" s="1"/>
  <c r="M55" i="29" s="1"/>
  <c r="P55" i="29" s="1"/>
  <c r="B107" i="29" s="1"/>
  <c r="AQ85" i="29"/>
  <c r="L71" i="29" s="1"/>
  <c r="M71" i="29" s="1"/>
  <c r="AB85" i="30"/>
  <c r="L41" i="30" s="1"/>
  <c r="M41" i="30" s="1"/>
  <c r="AJ85" i="30"/>
  <c r="L57" i="30" s="1"/>
  <c r="M57" i="30" s="1"/>
  <c r="H84" i="31"/>
  <c r="AC85" i="31"/>
  <c r="L43" i="31" s="1"/>
  <c r="M43" i="31" s="1"/>
  <c r="AK85" i="31"/>
  <c r="L59" i="31" s="1"/>
  <c r="M59" i="31" s="1"/>
  <c r="AD85" i="32"/>
  <c r="L45" i="32" s="1"/>
  <c r="M45" i="32" s="1"/>
  <c r="AL85" i="32"/>
  <c r="L61" i="32" s="1"/>
  <c r="M61" i="32" s="1"/>
  <c r="P61" i="32" s="1"/>
  <c r="B110" i="32" s="1"/>
  <c r="B209" i="12"/>
  <c r="AH85" i="28"/>
  <c r="L53" i="28" s="1"/>
  <c r="M53" i="28" s="1"/>
  <c r="P53" i="28" s="1"/>
  <c r="B106" i="28" s="1"/>
  <c r="Z85" i="30"/>
  <c r="L37" i="30" s="1"/>
  <c r="M37" i="30" s="1"/>
  <c r="P37" i="30" s="1"/>
  <c r="B98" i="30" s="1"/>
  <c r="AJ85" i="32"/>
  <c r="L57" i="32" s="1"/>
  <c r="M57" i="32" s="1"/>
  <c r="B127" i="12"/>
  <c r="AM85" i="25"/>
  <c r="L63" i="25" s="1"/>
  <c r="M63" i="25" s="1"/>
  <c r="AF85" i="27"/>
  <c r="L49" i="27" s="1"/>
  <c r="M49" i="27" s="1"/>
  <c r="P49" i="27" s="1"/>
  <c r="B104" i="27" s="1"/>
  <c r="AI85" i="28"/>
  <c r="L55" i="28" s="1"/>
  <c r="M55" i="28" s="1"/>
  <c r="AA85" i="30"/>
  <c r="L39" i="30" s="1"/>
  <c r="M39" i="30" s="1"/>
  <c r="P39" i="30" s="1"/>
  <c r="Q39" i="30" s="1"/>
  <c r="AB85" i="31"/>
  <c r="L41" i="31" s="1"/>
  <c r="M41" i="31" s="1"/>
  <c r="H84" i="32"/>
  <c r="AK85" i="32"/>
  <c r="L59" i="32" s="1"/>
  <c r="M59" i="32" s="1"/>
  <c r="W85" i="24"/>
  <c r="L31" i="24" s="1"/>
  <c r="M31" i="24" s="1"/>
  <c r="AE85" i="24"/>
  <c r="L47" i="24" s="1"/>
  <c r="M47" i="24" s="1"/>
  <c r="P47" i="24" s="1"/>
  <c r="B103" i="24" s="1"/>
  <c r="AM85" i="24"/>
  <c r="L63" i="24" s="1"/>
  <c r="M63" i="24" s="1"/>
  <c r="Y85" i="25"/>
  <c r="L35" i="25" s="1"/>
  <c r="M35" i="25" s="1"/>
  <c r="AG85" i="25"/>
  <c r="L51" i="25" s="1"/>
  <c r="M51" i="25" s="1"/>
  <c r="AO85" i="25"/>
  <c r="L67" i="25" s="1"/>
  <c r="M67" i="25" s="1"/>
  <c r="Z85" i="26"/>
  <c r="L37" i="26" s="1"/>
  <c r="M37" i="26" s="1"/>
  <c r="AH85" i="26"/>
  <c r="L53" i="26" s="1"/>
  <c r="M53" i="26" s="1"/>
  <c r="P53" i="26" s="1"/>
  <c r="B106" i="26" s="1"/>
  <c r="AP85" i="26"/>
  <c r="L69" i="26" s="1"/>
  <c r="M69" i="26" s="1"/>
  <c r="Z85" i="27"/>
  <c r="L37" i="27" s="1"/>
  <c r="M37" i="27" s="1"/>
  <c r="P37" i="27" s="1"/>
  <c r="B98" i="27" s="1"/>
  <c r="AH85" i="27"/>
  <c r="L53" i="27" s="1"/>
  <c r="M53" i="27" s="1"/>
  <c r="P53" i="27" s="1"/>
  <c r="B106" i="27" s="1"/>
  <c r="AP85" i="27"/>
  <c r="L69" i="27" s="1"/>
  <c r="M69" i="27" s="1"/>
  <c r="H84" i="28"/>
  <c r="AC85" i="28"/>
  <c r="L43" i="28" s="1"/>
  <c r="M43" i="28" s="1"/>
  <c r="AK85" i="28"/>
  <c r="L59" i="28" s="1"/>
  <c r="M59" i="28" s="1"/>
  <c r="P59" i="28" s="1"/>
  <c r="B109" i="28" s="1"/>
  <c r="AB85" i="29"/>
  <c r="L41" i="29" s="1"/>
  <c r="AJ85" i="29"/>
  <c r="L57" i="29" s="1"/>
  <c r="M57" i="29" s="1"/>
  <c r="P57" i="29" s="1"/>
  <c r="B108" i="29" s="1"/>
  <c r="H84" i="30"/>
  <c r="AC85" i="30"/>
  <c r="L43" i="30" s="1"/>
  <c r="M43" i="30" s="1"/>
  <c r="P43" i="30" s="1"/>
  <c r="B101" i="30" s="1"/>
  <c r="AK85" i="30"/>
  <c r="L59" i="30" s="1"/>
  <c r="M59" i="30" s="1"/>
  <c r="AD85" i="31"/>
  <c r="L45" i="31" s="1"/>
  <c r="M45" i="31" s="1"/>
  <c r="AL85" i="31"/>
  <c r="L61" i="31" s="1"/>
  <c r="M61" i="31" s="1"/>
  <c r="P61" i="31" s="1"/>
  <c r="B110" i="31" s="1"/>
  <c r="F14" i="32"/>
  <c r="W85" i="32"/>
  <c r="L31" i="32" s="1"/>
  <c r="M31" i="32" s="1"/>
  <c r="AE85" i="32"/>
  <c r="L47" i="32" s="1"/>
  <c r="M47" i="32" s="1"/>
  <c r="AM85" i="32"/>
  <c r="L63" i="32" s="1"/>
  <c r="M63" i="32" s="1"/>
  <c r="B148" i="12"/>
  <c r="M43" i="25"/>
  <c r="P43" i="25" s="1"/>
  <c r="B101" i="25" s="1"/>
  <c r="W85" i="27"/>
  <c r="L31" i="27" s="1"/>
  <c r="M31" i="27" s="1"/>
  <c r="P31" i="27" s="1"/>
  <c r="Q31" i="27" s="1"/>
  <c r="U89" i="28"/>
  <c r="AI85" i="31"/>
  <c r="L55" i="31" s="1"/>
  <c r="M55" i="31" s="1"/>
  <c r="U89" i="29"/>
  <c r="X85" i="24"/>
  <c r="L33" i="24" s="1"/>
  <c r="M33" i="24" s="1"/>
  <c r="P33" i="24" s="1"/>
  <c r="B96" i="24" s="1"/>
  <c r="AA85" i="26"/>
  <c r="L39" i="26" s="1"/>
  <c r="M39" i="26" s="1"/>
  <c r="P39" i="26" s="1"/>
  <c r="Q39" i="26" s="1"/>
  <c r="AI85" i="26"/>
  <c r="L55" i="26" s="1"/>
  <c r="M55" i="26" s="1"/>
  <c r="P55" i="26" s="1"/>
  <c r="B107" i="26" s="1"/>
  <c r="AQ85" i="26"/>
  <c r="L71" i="26" s="1"/>
  <c r="R71" i="26" s="1"/>
  <c r="T84" i="26" s="1"/>
  <c r="B82" i="12" s="1"/>
  <c r="AA85" i="27"/>
  <c r="L39" i="27" s="1"/>
  <c r="M39" i="27" s="1"/>
  <c r="P39" i="27" s="1"/>
  <c r="Q39" i="27" s="1"/>
  <c r="AI85" i="27"/>
  <c r="L55" i="27" s="1"/>
  <c r="M55" i="27" s="1"/>
  <c r="AQ85" i="27"/>
  <c r="L71" i="27" s="1"/>
  <c r="M71" i="27" s="1"/>
  <c r="P71" i="27" s="1"/>
  <c r="AD85" i="28"/>
  <c r="L45" i="28" s="1"/>
  <c r="M45" i="28" s="1"/>
  <c r="P45" i="28" s="1"/>
  <c r="B102" i="28" s="1"/>
  <c r="AL85" i="28"/>
  <c r="L61" i="28" s="1"/>
  <c r="M61" i="28" s="1"/>
  <c r="P61" i="28" s="1"/>
  <c r="B110" i="28" s="1"/>
  <c r="H84" i="29"/>
  <c r="AC85" i="29"/>
  <c r="L43" i="29" s="1"/>
  <c r="M43" i="29" s="1"/>
  <c r="P43" i="29" s="1"/>
  <c r="B101" i="29" s="1"/>
  <c r="AK85" i="29"/>
  <c r="L59" i="29" s="1"/>
  <c r="M59" i="29" s="1"/>
  <c r="M33" i="29"/>
  <c r="P33" i="29" s="1"/>
  <c r="B96" i="29" s="1"/>
  <c r="AD85" i="30"/>
  <c r="L45" i="30" s="1"/>
  <c r="M45" i="30" s="1"/>
  <c r="P45" i="30" s="1"/>
  <c r="AL85" i="30"/>
  <c r="L61" i="30" s="1"/>
  <c r="M61" i="30" s="1"/>
  <c r="P61" i="30" s="1"/>
  <c r="B110" i="30" s="1"/>
  <c r="W85" i="31"/>
  <c r="L31" i="31" s="1"/>
  <c r="M31" i="31" s="1"/>
  <c r="AE85" i="31"/>
  <c r="L47" i="31" s="1"/>
  <c r="M47" i="31" s="1"/>
  <c r="AM85" i="31"/>
  <c r="L63" i="31" s="1"/>
  <c r="M63" i="31" s="1"/>
  <c r="P63" i="31" s="1"/>
  <c r="B111" i="31" s="1"/>
  <c r="X85" i="32"/>
  <c r="L33" i="32" s="1"/>
  <c r="M33" i="32" s="1"/>
  <c r="P33" i="32" s="1"/>
  <c r="B96" i="32" s="1"/>
  <c r="AF85" i="32"/>
  <c r="L49" i="32" s="1"/>
  <c r="M49" i="32" s="1"/>
  <c r="AN85" i="32"/>
  <c r="L65" i="32" s="1"/>
  <c r="M65" i="32" s="1"/>
  <c r="P65" i="32" s="1"/>
  <c r="B112" i="32" s="1"/>
  <c r="B85" i="12"/>
  <c r="B188" i="12"/>
  <c r="AJ85" i="24"/>
  <c r="L57" i="24" s="1"/>
  <c r="M57" i="24" s="1"/>
  <c r="P57" i="24" s="1"/>
  <c r="B108" i="24" s="1"/>
  <c r="AL85" i="25"/>
  <c r="L61" i="25" s="1"/>
  <c r="M61" i="25" s="1"/>
  <c r="P61" i="25" s="1"/>
  <c r="B110" i="25" s="1"/>
  <c r="AE85" i="26"/>
  <c r="L47" i="26" s="1"/>
  <c r="M47" i="26" s="1"/>
  <c r="AE85" i="27"/>
  <c r="L47" i="27" s="1"/>
  <c r="M47" i="27" s="1"/>
  <c r="AG85" i="29"/>
  <c r="L51" i="29" s="1"/>
  <c r="M51" i="29" s="1"/>
  <c r="P51" i="29" s="1"/>
  <c r="B105" i="29" s="1"/>
  <c r="AP85" i="30"/>
  <c r="L69" i="30" s="1"/>
  <c r="M69" i="30" s="1"/>
  <c r="B207" i="12"/>
  <c r="AK85" i="24"/>
  <c r="L59" i="24" s="1"/>
  <c r="M59" i="24" s="1"/>
  <c r="P59" i="24" s="1"/>
  <c r="B109" i="24" s="1"/>
  <c r="AE85" i="25"/>
  <c r="L47" i="25" s="1"/>
  <c r="M47" i="25" s="1"/>
  <c r="AF85" i="26"/>
  <c r="L49" i="26" s="1"/>
  <c r="M49" i="26" s="1"/>
  <c r="AN85" i="27"/>
  <c r="L65" i="27" s="1"/>
  <c r="M65" i="27" s="1"/>
  <c r="P65" i="27" s="1"/>
  <c r="B112" i="27" s="1"/>
  <c r="Z85" i="29"/>
  <c r="L37" i="29" s="1"/>
  <c r="M37" i="29" s="1"/>
  <c r="AI85" i="30"/>
  <c r="L55" i="30" s="1"/>
  <c r="M55" i="30" s="1"/>
  <c r="AF85" i="24"/>
  <c r="L49" i="24" s="1"/>
  <c r="M49" i="24" s="1"/>
  <c r="P49" i="24" s="1"/>
  <c r="B104" i="24" s="1"/>
  <c r="Z85" i="25"/>
  <c r="L37" i="25" s="1"/>
  <c r="M37" i="25" s="1"/>
  <c r="P37" i="25" s="1"/>
  <c r="B98" i="25" s="1"/>
  <c r="AP85" i="25"/>
  <c r="L69" i="25" s="1"/>
  <c r="M69" i="25" s="1"/>
  <c r="X85" i="2"/>
  <c r="L33" i="2" s="1"/>
  <c r="M33" i="2" s="1"/>
  <c r="P33" i="2" s="1"/>
  <c r="B96" i="2" s="1"/>
  <c r="Y85" i="24"/>
  <c r="L35" i="24" s="1"/>
  <c r="M35" i="24" s="1"/>
  <c r="AG85" i="24"/>
  <c r="L51" i="24" s="1"/>
  <c r="M51" i="24" s="1"/>
  <c r="AO85" i="24"/>
  <c r="L67" i="24" s="1"/>
  <c r="M67" i="24" s="1"/>
  <c r="AA85" i="25"/>
  <c r="L39" i="25" s="1"/>
  <c r="M39" i="25" s="1"/>
  <c r="P39" i="25" s="1"/>
  <c r="Q39" i="25" s="1"/>
  <c r="AI85" i="25"/>
  <c r="L55" i="25" s="1"/>
  <c r="AQ85" i="25"/>
  <c r="L71" i="25" s="1"/>
  <c r="M71" i="25" s="1"/>
  <c r="AB85" i="26"/>
  <c r="L41" i="26" s="1"/>
  <c r="M41" i="26" s="1"/>
  <c r="P41" i="26" s="1"/>
  <c r="B100" i="26" s="1"/>
  <c r="AJ85" i="26"/>
  <c r="L57" i="26" s="1"/>
  <c r="M57" i="26" s="1"/>
  <c r="P57" i="26" s="1"/>
  <c r="B108" i="26" s="1"/>
  <c r="AB85" i="27"/>
  <c r="L41" i="27" s="1"/>
  <c r="M41" i="27" s="1"/>
  <c r="AJ85" i="27"/>
  <c r="L57" i="27" s="1"/>
  <c r="M57" i="27" s="1"/>
  <c r="W85" i="28"/>
  <c r="L31" i="28" s="1"/>
  <c r="M31" i="28" s="1"/>
  <c r="AE85" i="28"/>
  <c r="L47" i="28" s="1"/>
  <c r="M47" i="28" s="1"/>
  <c r="AM85" i="28"/>
  <c r="L63" i="28" s="1"/>
  <c r="M63" i="28" s="1"/>
  <c r="P63" i="28" s="1"/>
  <c r="B111" i="28" s="1"/>
  <c r="AD85" i="29"/>
  <c r="L45" i="29" s="1"/>
  <c r="M45" i="29" s="1"/>
  <c r="P45" i="29" s="1"/>
  <c r="B102" i="29" s="1"/>
  <c r="AL85" i="29"/>
  <c r="L61" i="29" s="1"/>
  <c r="M61" i="29" s="1"/>
  <c r="M35" i="29"/>
  <c r="P35" i="29" s="1"/>
  <c r="B97" i="29" s="1"/>
  <c r="M41" i="29"/>
  <c r="P41" i="29" s="1"/>
  <c r="B100" i="29" s="1"/>
  <c r="W85" i="30"/>
  <c r="L31" i="30" s="1"/>
  <c r="M31" i="30" s="1"/>
  <c r="AE85" i="30"/>
  <c r="L47" i="30" s="1"/>
  <c r="M47" i="30" s="1"/>
  <c r="AM85" i="30"/>
  <c r="L63" i="30" s="1"/>
  <c r="M63" i="30" s="1"/>
  <c r="P63" i="30" s="1"/>
  <c r="B111" i="30" s="1"/>
  <c r="X85" i="31"/>
  <c r="L33" i="31" s="1"/>
  <c r="M33" i="31" s="1"/>
  <c r="P33" i="31" s="1"/>
  <c r="B96" i="31" s="1"/>
  <c r="AF85" i="31"/>
  <c r="L49" i="31" s="1"/>
  <c r="M49" i="31" s="1"/>
  <c r="P49" i="31" s="1"/>
  <c r="B104" i="31" s="1"/>
  <c r="AN85" i="31"/>
  <c r="L65" i="31" s="1"/>
  <c r="M65" i="31" s="1"/>
  <c r="Y85" i="32"/>
  <c r="L35" i="32" s="1"/>
  <c r="M35" i="32" s="1"/>
  <c r="P35" i="32" s="1"/>
  <c r="B97" i="32" s="1"/>
  <c r="AG85" i="32"/>
  <c r="L51" i="32" s="1"/>
  <c r="M51" i="32" s="1"/>
  <c r="AO85" i="32"/>
  <c r="L67" i="32" s="1"/>
  <c r="M67" i="32" s="1"/>
  <c r="B86" i="12"/>
  <c r="U89" i="33"/>
  <c r="AA85" i="33"/>
  <c r="L39" i="33" s="1"/>
  <c r="M39" i="33" s="1"/>
  <c r="AI85" i="33"/>
  <c r="L55" i="33" s="1"/>
  <c r="M55" i="33" s="1"/>
  <c r="AQ85" i="33"/>
  <c r="L71" i="33" s="1"/>
  <c r="M71" i="33" s="1"/>
  <c r="Z85" i="33"/>
  <c r="L37" i="33" s="1"/>
  <c r="M37" i="33" s="1"/>
  <c r="P37" i="33" s="1"/>
  <c r="B98" i="33" s="1"/>
  <c r="AH85" i="33"/>
  <c r="L53" i="33" s="1"/>
  <c r="M53" i="33" s="1"/>
  <c r="P53" i="33" s="1"/>
  <c r="B106" i="33" s="1"/>
  <c r="AP85" i="33"/>
  <c r="L69" i="33" s="1"/>
  <c r="M69" i="33" s="1"/>
  <c r="B243" i="12"/>
  <c r="AJ85" i="33"/>
  <c r="L57" i="33" s="1"/>
  <c r="M57" i="33" s="1"/>
  <c r="AC85" i="33"/>
  <c r="L43" i="33" s="1"/>
  <c r="M43" i="33" s="1"/>
  <c r="P43" i="33" s="1"/>
  <c r="B101" i="33" s="1"/>
  <c r="AD85" i="33"/>
  <c r="L45" i="33" s="1"/>
  <c r="M45" i="33" s="1"/>
  <c r="P45" i="33" s="1"/>
  <c r="AL85" i="33"/>
  <c r="L61" i="33" s="1"/>
  <c r="M61" i="33" s="1"/>
  <c r="P61" i="33" s="1"/>
  <c r="B110" i="33" s="1"/>
  <c r="AB85" i="33"/>
  <c r="L41" i="33" s="1"/>
  <c r="M41" i="33" s="1"/>
  <c r="AK85" i="33"/>
  <c r="L59" i="33" s="1"/>
  <c r="M59" i="33" s="1"/>
  <c r="W85" i="33"/>
  <c r="L31" i="33" s="1"/>
  <c r="M31" i="33" s="1"/>
  <c r="AE85" i="33"/>
  <c r="L47" i="33" s="1"/>
  <c r="M47" i="33" s="1"/>
  <c r="AM85" i="33"/>
  <c r="L63" i="33" s="1"/>
  <c r="M63" i="33" s="1"/>
  <c r="P63" i="33" s="1"/>
  <c r="B111" i="33" s="1"/>
  <c r="X85" i="33"/>
  <c r="L33" i="33" s="1"/>
  <c r="M33" i="33" s="1"/>
  <c r="P33" i="33" s="1"/>
  <c r="B96" i="33" s="1"/>
  <c r="AF85" i="33"/>
  <c r="L49" i="33" s="1"/>
  <c r="M49" i="33" s="1"/>
  <c r="P49" i="33" s="1"/>
  <c r="B104" i="33" s="1"/>
  <c r="AN85" i="33"/>
  <c r="L65" i="33" s="1"/>
  <c r="M65" i="33" s="1"/>
  <c r="P65" i="33" s="1"/>
  <c r="B112" i="33" s="1"/>
  <c r="B241" i="12"/>
  <c r="H84" i="33"/>
  <c r="Y85" i="33"/>
  <c r="L35" i="33" s="1"/>
  <c r="M35" i="33" s="1"/>
  <c r="AG85" i="33"/>
  <c r="L51" i="33" s="1"/>
  <c r="M51" i="33" s="1"/>
  <c r="AO85" i="33"/>
  <c r="L67" i="33" s="1"/>
  <c r="M67" i="33" s="1"/>
  <c r="B246" i="12"/>
  <c r="U89" i="24"/>
  <c r="B123" i="12"/>
  <c r="B144" i="12"/>
  <c r="B165" i="12"/>
  <c r="B186" i="12"/>
  <c r="B205" i="12"/>
  <c r="U89" i="31"/>
  <c r="B125" i="12"/>
  <c r="B146" i="12"/>
  <c r="P93" i="29"/>
  <c r="B81" i="12"/>
  <c r="B128" i="12"/>
  <c r="B149" i="12"/>
  <c r="B170" i="12"/>
  <c r="B191" i="12"/>
  <c r="B211" i="12"/>
  <c r="B190" i="12"/>
  <c r="P93" i="27"/>
  <c r="U87" i="29"/>
  <c r="P93" i="30"/>
  <c r="B212" i="12"/>
  <c r="B245" i="12"/>
  <c r="B163" i="12"/>
  <c r="P39" i="33"/>
  <c r="Q39" i="33" s="1"/>
  <c r="P93" i="33"/>
  <c r="U87" i="33"/>
  <c r="P45" i="32"/>
  <c r="B102" i="32" s="1"/>
  <c r="U87" i="32"/>
  <c r="F15" i="32"/>
  <c r="F17" i="32" s="1"/>
  <c r="G15" i="32"/>
  <c r="G17" i="32" s="1"/>
  <c r="U89" i="32"/>
  <c r="M35" i="31"/>
  <c r="G14" i="31"/>
  <c r="P93" i="31"/>
  <c r="F15" i="31"/>
  <c r="G15" i="31"/>
  <c r="U87" i="31"/>
  <c r="P53" i="30"/>
  <c r="B106" i="30" s="1"/>
  <c r="F14" i="30"/>
  <c r="U87" i="30"/>
  <c r="F15" i="30"/>
  <c r="G15" i="30"/>
  <c r="G17" i="30" s="1"/>
  <c r="U89" i="30"/>
  <c r="M65" i="29"/>
  <c r="G14" i="29"/>
  <c r="G15" i="29"/>
  <c r="M71" i="28"/>
  <c r="F14" i="28"/>
  <c r="U87" i="28"/>
  <c r="F15" i="28"/>
  <c r="G15" i="28"/>
  <c r="G14" i="28"/>
  <c r="P93" i="28"/>
  <c r="P33" i="27"/>
  <c r="B96" i="27" s="1"/>
  <c r="U87" i="27"/>
  <c r="F15" i="27"/>
  <c r="F17" i="27" s="1"/>
  <c r="H84" i="27"/>
  <c r="U89" i="27"/>
  <c r="P45" i="26"/>
  <c r="B102" i="26" s="1"/>
  <c r="P93" i="26"/>
  <c r="F16" i="26"/>
  <c r="F17" i="26" s="1"/>
  <c r="H84" i="26"/>
  <c r="U89" i="26"/>
  <c r="G16" i="26"/>
  <c r="G17" i="26" s="1"/>
  <c r="T86" i="26"/>
  <c r="M55" i="25"/>
  <c r="F14" i="25"/>
  <c r="P93" i="25"/>
  <c r="F16" i="25"/>
  <c r="H84" i="25"/>
  <c r="U89" i="25"/>
  <c r="G15" i="25"/>
  <c r="G16" i="25"/>
  <c r="T86" i="25"/>
  <c r="T87" i="25" s="1"/>
  <c r="P55" i="24"/>
  <c r="B107" i="24" s="1"/>
  <c r="F15" i="24"/>
  <c r="F17" i="24" s="1"/>
  <c r="U87" i="24"/>
  <c r="H84" i="24"/>
  <c r="AA85" i="2"/>
  <c r="L39" i="2" s="1"/>
  <c r="D35" i="11"/>
  <c r="F17" i="31" l="1"/>
  <c r="M71" i="31"/>
  <c r="R71" i="29"/>
  <c r="T84" i="29" s="1"/>
  <c r="B145" i="12" s="1"/>
  <c r="R71" i="32"/>
  <c r="T84" i="32" s="1"/>
  <c r="B208" i="12" s="1"/>
  <c r="G17" i="28"/>
  <c r="R71" i="30"/>
  <c r="T84" i="30" s="1"/>
  <c r="B166" i="12" s="1"/>
  <c r="R71" i="24"/>
  <c r="T84" i="24" s="1"/>
  <c r="B115" i="24"/>
  <c r="Q55" i="24"/>
  <c r="G17" i="25"/>
  <c r="Q71" i="24"/>
  <c r="R71" i="33"/>
  <c r="T84" i="33" s="1"/>
  <c r="B242" i="12" s="1"/>
  <c r="Q45" i="32"/>
  <c r="P65" i="31"/>
  <c r="B112" i="31" s="1"/>
  <c r="B115" i="30"/>
  <c r="Q33" i="30"/>
  <c r="Q41" i="29"/>
  <c r="Q35" i="29"/>
  <c r="R71" i="27"/>
  <c r="T84" i="27" s="1"/>
  <c r="M71" i="26"/>
  <c r="P71" i="26" s="1"/>
  <c r="B115" i="26" s="1"/>
  <c r="R71" i="25"/>
  <c r="T84" i="25" s="1"/>
  <c r="Q47" i="24"/>
  <c r="Q53" i="24"/>
  <c r="P41" i="31"/>
  <c r="B100" i="31" s="1"/>
  <c r="P43" i="31"/>
  <c r="B101" i="31" s="1"/>
  <c r="P43" i="26"/>
  <c r="B101" i="26" s="1"/>
  <c r="B102" i="30"/>
  <c r="Q45" i="30"/>
  <c r="P63" i="25"/>
  <c r="B111" i="25" s="1"/>
  <c r="P69" i="26"/>
  <c r="B114" i="26" s="1"/>
  <c r="P35" i="25"/>
  <c r="B97" i="25" s="1"/>
  <c r="Q41" i="28"/>
  <c r="Q61" i="32"/>
  <c r="Q59" i="28"/>
  <c r="Q37" i="31"/>
  <c r="Q53" i="26"/>
  <c r="Q41" i="26"/>
  <c r="Q55" i="26"/>
  <c r="P37" i="26"/>
  <c r="B98" i="26" s="1"/>
  <c r="Q67" i="29"/>
  <c r="Q71" i="30"/>
  <c r="P45" i="31"/>
  <c r="B102" i="31" s="1"/>
  <c r="Q45" i="26"/>
  <c r="Q53" i="31"/>
  <c r="Q41" i="25"/>
  <c r="Q33" i="26"/>
  <c r="Q53" i="29"/>
  <c r="Q53" i="32"/>
  <c r="B102" i="33"/>
  <c r="Q45" i="33"/>
  <c r="P41" i="33"/>
  <c r="B100" i="33" s="1"/>
  <c r="Q41" i="33"/>
  <c r="Q53" i="33"/>
  <c r="T87" i="26"/>
  <c r="B84" i="12" s="1"/>
  <c r="B83" i="12"/>
  <c r="P71" i="33"/>
  <c r="P51" i="33"/>
  <c r="B105" i="33" s="1"/>
  <c r="P59" i="33"/>
  <c r="B109" i="33" s="1"/>
  <c r="Q65" i="33"/>
  <c r="Q33" i="33"/>
  <c r="Q37" i="33"/>
  <c r="Q63" i="33"/>
  <c r="P69" i="33"/>
  <c r="B114" i="33" s="1"/>
  <c r="P31" i="33"/>
  <c r="Q31" i="33"/>
  <c r="P55" i="33"/>
  <c r="B107" i="33" s="1"/>
  <c r="P67" i="33"/>
  <c r="B113" i="33" s="1"/>
  <c r="P57" i="33"/>
  <c r="B108" i="33" s="1"/>
  <c r="P35" i="33"/>
  <c r="B97" i="33" s="1"/>
  <c r="Q61" i="33"/>
  <c r="P47" i="33"/>
  <c r="B103" i="33" s="1"/>
  <c r="Q43" i="33"/>
  <c r="Q49" i="33"/>
  <c r="P69" i="32"/>
  <c r="B114" i="32" s="1"/>
  <c r="P41" i="32"/>
  <c r="B100" i="32" s="1"/>
  <c r="P59" i="32"/>
  <c r="B109" i="32" s="1"/>
  <c r="Q33" i="32"/>
  <c r="P49" i="32"/>
  <c r="B104" i="32" s="1"/>
  <c r="P57" i="32"/>
  <c r="B108" i="32" s="1"/>
  <c r="P67" i="32"/>
  <c r="B113" i="32" s="1"/>
  <c r="P31" i="32"/>
  <c r="P55" i="32"/>
  <c r="B107" i="32" s="1"/>
  <c r="Q37" i="32"/>
  <c r="P47" i="32"/>
  <c r="B103" i="32" s="1"/>
  <c r="Q43" i="32"/>
  <c r="Q35" i="32"/>
  <c r="P63" i="32"/>
  <c r="B111" i="32" s="1"/>
  <c r="P51" i="32"/>
  <c r="B105" i="32" s="1"/>
  <c r="Q65" i="32"/>
  <c r="P47" i="31"/>
  <c r="B103" i="31" s="1"/>
  <c r="Q49" i="31"/>
  <c r="P67" i="31"/>
  <c r="B113" i="31" s="1"/>
  <c r="P51" i="31"/>
  <c r="B105" i="31" s="1"/>
  <c r="G17" i="31"/>
  <c r="P69" i="31"/>
  <c r="B114" i="31" s="1"/>
  <c r="P71" i="31"/>
  <c r="B115" i="31" s="1"/>
  <c r="P35" i="31"/>
  <c r="B97" i="31" s="1"/>
  <c r="P59" i="31"/>
  <c r="B109" i="31" s="1"/>
  <c r="P31" i="31"/>
  <c r="Q31" i="31" s="1"/>
  <c r="P55" i="31"/>
  <c r="B107" i="31" s="1"/>
  <c r="Q63" i="31"/>
  <c r="Q33" i="31"/>
  <c r="P57" i="31"/>
  <c r="B108" i="31" s="1"/>
  <c r="Q61" i="31"/>
  <c r="P57" i="30"/>
  <c r="B108" i="30" s="1"/>
  <c r="P47" i="30"/>
  <c r="B103" i="30" s="1"/>
  <c r="Q61" i="30"/>
  <c r="Q67" i="30"/>
  <c r="Q35" i="30"/>
  <c r="P65" i="30"/>
  <c r="B112" i="30" s="1"/>
  <c r="Q37" i="30"/>
  <c r="Q43" i="30"/>
  <c r="P59" i="30"/>
  <c r="B109" i="30" s="1"/>
  <c r="P51" i="30"/>
  <c r="B105" i="30" s="1"/>
  <c r="P31" i="30"/>
  <c r="Q31" i="30" s="1"/>
  <c r="P41" i="30"/>
  <c r="B100" i="30" s="1"/>
  <c r="Q41" i="30"/>
  <c r="P55" i="30"/>
  <c r="B107" i="30" s="1"/>
  <c r="F17" i="30"/>
  <c r="P69" i="30"/>
  <c r="B114" i="30" s="1"/>
  <c r="Q63" i="30"/>
  <c r="Q53" i="30"/>
  <c r="Q49" i="30"/>
  <c r="P31" i="29"/>
  <c r="Q31" i="29"/>
  <c r="P71" i="29"/>
  <c r="B115" i="29" s="1"/>
  <c r="Q51" i="29"/>
  <c r="P47" i="29"/>
  <c r="B103" i="29" s="1"/>
  <c r="G17" i="29"/>
  <c r="Q45" i="29"/>
  <c r="P65" i="29"/>
  <c r="B112" i="29" s="1"/>
  <c r="Q33" i="29"/>
  <c r="Q63" i="29"/>
  <c r="P39" i="29"/>
  <c r="Q39" i="29" s="1"/>
  <c r="P61" i="29"/>
  <c r="B110" i="29" s="1"/>
  <c r="P49" i="29"/>
  <c r="B104" i="29" s="1"/>
  <c r="P59" i="29"/>
  <c r="B109" i="29" s="1"/>
  <c r="Q57" i="29"/>
  <c r="Q69" i="29"/>
  <c r="P37" i="29"/>
  <c r="B98" i="29" s="1"/>
  <c r="Q55" i="29"/>
  <c r="Q43" i="29"/>
  <c r="P57" i="28"/>
  <c r="B108" i="28" s="1"/>
  <c r="P43" i="28"/>
  <c r="B101" i="28" s="1"/>
  <c r="P31" i="28"/>
  <c r="Q33" i="28"/>
  <c r="P55" i="28"/>
  <c r="B107" i="28" s="1"/>
  <c r="P47" i="28"/>
  <c r="B103" i="28" s="1"/>
  <c r="Q45" i="28"/>
  <c r="Q53" i="28"/>
  <c r="P67" i="28"/>
  <c r="B113" i="28" s="1"/>
  <c r="Q63" i="28"/>
  <c r="P51" i="28"/>
  <c r="B105" i="28" s="1"/>
  <c r="Q61" i="28"/>
  <c r="F17" i="28"/>
  <c r="Q49" i="28"/>
  <c r="Q65" i="28"/>
  <c r="P35" i="28"/>
  <c r="B97" i="28" s="1"/>
  <c r="P69" i="28"/>
  <c r="B114" i="28" s="1"/>
  <c r="P71" i="28"/>
  <c r="B115" i="28" s="1"/>
  <c r="Q37" i="28"/>
  <c r="P47" i="27"/>
  <c r="B103" i="27" s="1"/>
  <c r="Q65" i="27"/>
  <c r="Q67" i="27"/>
  <c r="Q35" i="27"/>
  <c r="P69" i="27"/>
  <c r="B114" i="27" s="1"/>
  <c r="P59" i="27"/>
  <c r="B109" i="27" s="1"/>
  <c r="Q61" i="27"/>
  <c r="P63" i="27"/>
  <c r="B111" i="27" s="1"/>
  <c r="Q53" i="27"/>
  <c r="Q49" i="27"/>
  <c r="Q71" i="27"/>
  <c r="B95" i="27"/>
  <c r="Q43" i="27"/>
  <c r="P57" i="27"/>
  <c r="B108" i="27" s="1"/>
  <c r="P51" i="27"/>
  <c r="B105" i="27" s="1"/>
  <c r="P55" i="27"/>
  <c r="B107" i="27" s="1"/>
  <c r="Q45" i="27"/>
  <c r="P41" i="27"/>
  <c r="B100" i="27" s="1"/>
  <c r="Q37" i="27"/>
  <c r="Q33" i="27"/>
  <c r="Q35" i="26"/>
  <c r="P51" i="26"/>
  <c r="B105" i="26" s="1"/>
  <c r="P67" i="26"/>
  <c r="B113" i="26" s="1"/>
  <c r="P65" i="26"/>
  <c r="B112" i="26" s="1"/>
  <c r="P49" i="26"/>
  <c r="B104" i="26" s="1"/>
  <c r="P47" i="26"/>
  <c r="B103" i="26" s="1"/>
  <c r="P31" i="26"/>
  <c r="Q61" i="26"/>
  <c r="Q59" i="26"/>
  <c r="Q57" i="26"/>
  <c r="P63" i="26"/>
  <c r="B111" i="26" s="1"/>
  <c r="P67" i="25"/>
  <c r="B113" i="25" s="1"/>
  <c r="F17" i="25"/>
  <c r="Q61" i="25"/>
  <c r="P55" i="25"/>
  <c r="B107" i="25" s="1"/>
  <c r="P49" i="25"/>
  <c r="B104" i="25" s="1"/>
  <c r="Q45" i="25"/>
  <c r="Q33" i="25"/>
  <c r="P51" i="25"/>
  <c r="B105" i="25" s="1"/>
  <c r="B95" i="25"/>
  <c r="Q31" i="25"/>
  <c r="P59" i="25"/>
  <c r="B109" i="25" s="1"/>
  <c r="Q37" i="25"/>
  <c r="P65" i="25"/>
  <c r="B112" i="25" s="1"/>
  <c r="P47" i="25"/>
  <c r="B103" i="25" s="1"/>
  <c r="P69" i="25"/>
  <c r="B114" i="25" s="1"/>
  <c r="P57" i="25"/>
  <c r="B108" i="25" s="1"/>
  <c r="Q53" i="25"/>
  <c r="Q43" i="25"/>
  <c r="P71" i="25"/>
  <c r="P31" i="24"/>
  <c r="Q31" i="24" s="1"/>
  <c r="P63" i="24"/>
  <c r="B111" i="24" s="1"/>
  <c r="P35" i="24"/>
  <c r="B97" i="24" s="1"/>
  <c r="P51" i="24"/>
  <c r="B105" i="24" s="1"/>
  <c r="Q33" i="24"/>
  <c r="Q61" i="24"/>
  <c r="P69" i="24"/>
  <c r="B114" i="24" s="1"/>
  <c r="Q45" i="24"/>
  <c r="Q65" i="24"/>
  <c r="Q49" i="24"/>
  <c r="P67" i="24"/>
  <c r="B113" i="24" s="1"/>
  <c r="P43" i="24"/>
  <c r="B101" i="24" s="1"/>
  <c r="Q57" i="24"/>
  <c r="Q59" i="24"/>
  <c r="Q41" i="24"/>
  <c r="Q37" i="24"/>
  <c r="Q33" i="2"/>
  <c r="D37" i="11"/>
  <c r="D33" i="11"/>
  <c r="D29" i="11"/>
  <c r="D27" i="11"/>
  <c r="D25" i="11"/>
  <c r="F40" i="11"/>
  <c r="E40" i="11"/>
  <c r="D40" i="11"/>
  <c r="B115" i="32" l="1"/>
  <c r="Q43" i="31"/>
  <c r="Q47" i="27"/>
  <c r="Q43" i="26"/>
  <c r="B115" i="33"/>
  <c r="Q59" i="33"/>
  <c r="Q59" i="30"/>
  <c r="Q59" i="29"/>
  <c r="Q59" i="27"/>
  <c r="B115" i="25"/>
  <c r="Q71" i="31"/>
  <c r="Q47" i="25"/>
  <c r="Q45" i="31"/>
  <c r="Q37" i="26"/>
  <c r="Q41" i="31"/>
  <c r="Q67" i="33"/>
  <c r="Q51" i="32"/>
  <c r="Q69" i="32"/>
  <c r="Q47" i="32"/>
  <c r="Q65" i="31"/>
  <c r="Q41" i="27"/>
  <c r="B115" i="27"/>
  <c r="Q71" i="26"/>
  <c r="Q35" i="25"/>
  <c r="Q57" i="25"/>
  <c r="Q47" i="26"/>
  <c r="Q51" i="27"/>
  <c r="Q55" i="30"/>
  <c r="Q57" i="31"/>
  <c r="Q47" i="31"/>
  <c r="Q69" i="26"/>
  <c r="Q57" i="28"/>
  <c r="Q63" i="25"/>
  <c r="Q55" i="25"/>
  <c r="Q47" i="28"/>
  <c r="Q55" i="31"/>
  <c r="Q55" i="32"/>
  <c r="Q41" i="32"/>
  <c r="Q55" i="33"/>
  <c r="Q35" i="33"/>
  <c r="Q69" i="33"/>
  <c r="P84" i="33"/>
  <c r="B235" i="12" s="1"/>
  <c r="B95" i="33"/>
  <c r="Q57" i="33"/>
  <c r="Q51" i="33"/>
  <c r="Q47" i="33"/>
  <c r="Q71" i="33"/>
  <c r="Q57" i="32"/>
  <c r="Q67" i="32"/>
  <c r="Q49" i="32"/>
  <c r="Q63" i="32"/>
  <c r="P84" i="32"/>
  <c r="B201" i="12" s="1"/>
  <c r="B95" i="32"/>
  <c r="Q31" i="32"/>
  <c r="Q59" i="32"/>
  <c r="Q51" i="31"/>
  <c r="Q67" i="31"/>
  <c r="P84" i="31"/>
  <c r="B180" i="12" s="1"/>
  <c r="B95" i="31"/>
  <c r="Q69" i="31"/>
  <c r="Q35" i="31"/>
  <c r="Q59" i="31"/>
  <c r="Q69" i="30"/>
  <c r="Q47" i="30"/>
  <c r="Q51" i="30"/>
  <c r="P84" i="30"/>
  <c r="B159" i="12" s="1"/>
  <c r="B95" i="30"/>
  <c r="Q65" i="30"/>
  <c r="Q57" i="30"/>
  <c r="Q47" i="29"/>
  <c r="Q71" i="29"/>
  <c r="Q49" i="29"/>
  <c r="Q65" i="29"/>
  <c r="Q37" i="29"/>
  <c r="Q61" i="29"/>
  <c r="P84" i="29"/>
  <c r="B138" i="12" s="1"/>
  <c r="B95" i="29"/>
  <c r="Q35" i="28"/>
  <c r="P84" i="28"/>
  <c r="B117" i="12" s="1"/>
  <c r="B95" i="28"/>
  <c r="Q31" i="28"/>
  <c r="Q67" i="28"/>
  <c r="Q71" i="28"/>
  <c r="Q43" i="28"/>
  <c r="Q69" i="28"/>
  <c r="Q51" i="28"/>
  <c r="Q55" i="28"/>
  <c r="Q57" i="27"/>
  <c r="Q63" i="27"/>
  <c r="Q55" i="27"/>
  <c r="P84" i="27"/>
  <c r="Q69" i="27"/>
  <c r="B95" i="26"/>
  <c r="P84" i="26"/>
  <c r="B75" i="12" s="1"/>
  <c r="Q67" i="26"/>
  <c r="Q63" i="26"/>
  <c r="Q49" i="26"/>
  <c r="Q51" i="26"/>
  <c r="Q31" i="26"/>
  <c r="Q65" i="26"/>
  <c r="Q71" i="25"/>
  <c r="P84" i="25"/>
  <c r="Q69" i="25"/>
  <c r="Q49" i="25"/>
  <c r="Q65" i="25"/>
  <c r="Q51" i="25"/>
  <c r="Q59" i="25"/>
  <c r="Q67" i="25"/>
  <c r="Q69" i="24"/>
  <c r="Q63" i="24"/>
  <c r="Q43" i="24"/>
  <c r="P84" i="24"/>
  <c r="B95" i="24"/>
  <c r="Q67" i="24"/>
  <c r="Q51" i="24"/>
  <c r="Q35" i="24"/>
  <c r="G25" i="33"/>
  <c r="F230" i="12" s="1"/>
  <c r="B18" i="33"/>
  <c r="B232" i="12" s="1"/>
  <c r="B7" i="33"/>
  <c r="B8" i="33"/>
  <c r="B9" i="33"/>
  <c r="B6" i="33"/>
  <c r="B15" i="33"/>
  <c r="B230" i="12" s="1"/>
  <c r="B16" i="33"/>
  <c r="B231" i="12" s="1"/>
  <c r="B14" i="33"/>
  <c r="B229" i="12" s="1"/>
  <c r="D257" i="11"/>
  <c r="D255" i="11"/>
  <c r="D253" i="11"/>
  <c r="D249" i="11"/>
  <c r="D247" i="11"/>
  <c r="D245" i="11"/>
  <c r="D235" i="11"/>
  <c r="D233" i="11"/>
  <c r="D231" i="11"/>
  <c r="D227" i="11"/>
  <c r="D225" i="11"/>
  <c r="D223" i="11"/>
  <c r="D213" i="11"/>
  <c r="D211" i="11"/>
  <c r="D209" i="11"/>
  <c r="D205" i="11"/>
  <c r="D203" i="11"/>
  <c r="D201" i="11"/>
  <c r="D191" i="11"/>
  <c r="D189" i="11"/>
  <c r="D187" i="11"/>
  <c r="D183" i="11"/>
  <c r="D181" i="11"/>
  <c r="D179" i="11"/>
  <c r="D169" i="11"/>
  <c r="D167" i="11"/>
  <c r="D165" i="11"/>
  <c r="D161" i="11"/>
  <c r="D159" i="11"/>
  <c r="D157" i="11"/>
  <c r="D147" i="11"/>
  <c r="D145" i="11"/>
  <c r="D143" i="11"/>
  <c r="D139" i="11"/>
  <c r="D137" i="11"/>
  <c r="D135" i="11"/>
  <c r="D125" i="11"/>
  <c r="D123" i="11"/>
  <c r="D121" i="11"/>
  <c r="D117" i="11"/>
  <c r="D115" i="11"/>
  <c r="D113" i="11"/>
  <c r="D103" i="11"/>
  <c r="D101" i="11"/>
  <c r="D99" i="11"/>
  <c r="D95" i="11"/>
  <c r="D93" i="11"/>
  <c r="D91" i="11"/>
  <c r="D81" i="11"/>
  <c r="D79" i="11"/>
  <c r="D77" i="11"/>
  <c r="D73" i="11"/>
  <c r="D71" i="11"/>
  <c r="D69" i="11"/>
  <c r="D10" i="11"/>
  <c r="D9" i="11"/>
  <c r="B198" i="12"/>
  <c r="B197" i="12"/>
  <c r="B196" i="12"/>
  <c r="B195" i="12"/>
  <c r="B177" i="12"/>
  <c r="B176" i="12"/>
  <c r="B175" i="12"/>
  <c r="B174" i="12"/>
  <c r="B156" i="12"/>
  <c r="B155" i="12"/>
  <c r="B154" i="12"/>
  <c r="B153" i="12"/>
  <c r="B135" i="12"/>
  <c r="B134" i="12"/>
  <c r="B133" i="12"/>
  <c r="B132" i="12"/>
  <c r="B114" i="12"/>
  <c r="B113" i="12"/>
  <c r="B112" i="12"/>
  <c r="B111" i="12"/>
  <c r="B93" i="12"/>
  <c r="B92" i="12"/>
  <c r="B91" i="12"/>
  <c r="B90" i="12"/>
  <c r="B72" i="12"/>
  <c r="B71" i="12"/>
  <c r="B70" i="12"/>
  <c r="B69" i="12"/>
  <c r="B51" i="12"/>
  <c r="B50" i="12"/>
  <c r="B49" i="12"/>
  <c r="B48" i="12"/>
  <c r="B30" i="12"/>
  <c r="B29" i="12"/>
  <c r="B28" i="12"/>
  <c r="B27" i="12"/>
  <c r="B105" i="12"/>
  <c r="B100" i="12"/>
  <c r="B57" i="12"/>
  <c r="B58" i="12"/>
  <c r="B37" i="12"/>
  <c r="B103" i="12" l="1"/>
  <c r="B94" i="12"/>
  <c r="B157" i="12"/>
  <c r="B199" i="12"/>
  <c r="B115" i="12"/>
  <c r="B136" i="12"/>
  <c r="B73" i="12"/>
  <c r="B52" i="12"/>
  <c r="B178" i="12"/>
  <c r="G26" i="33"/>
  <c r="B43" i="12"/>
  <c r="F154" i="12"/>
  <c r="F112" i="12"/>
  <c r="F91" i="12"/>
  <c r="F70" i="12"/>
  <c r="B31" i="12"/>
  <c r="B10" i="11" s="1"/>
  <c r="C19" i="11"/>
  <c r="D19" i="11" s="1"/>
  <c r="B99" i="12"/>
  <c r="B42" i="12"/>
  <c r="B41" i="12"/>
  <c r="B36" i="12"/>
  <c r="F133" i="12"/>
  <c r="B102" i="12"/>
  <c r="B64" i="12"/>
  <c r="B104" i="12"/>
  <c r="B39" i="12"/>
  <c r="F28" i="12"/>
  <c r="B106" i="12"/>
  <c r="F196" i="12"/>
  <c r="F49" i="12"/>
  <c r="F175" i="12"/>
  <c r="D55" i="11"/>
  <c r="T77" i="2"/>
  <c r="T79" i="2"/>
  <c r="T81" i="2"/>
  <c r="T73" i="2"/>
  <c r="T75" i="2"/>
  <c r="B61" i="12" l="1"/>
  <c r="B40" i="12"/>
  <c r="B107" i="12"/>
  <c r="B44" i="12"/>
  <c r="B60" i="12"/>
  <c r="B65" i="12"/>
  <c r="D51" i="11"/>
  <c r="D49" i="11"/>
  <c r="D47" i="11"/>
  <c r="B10" i="2"/>
  <c r="K32" i="1"/>
  <c r="B54" i="12" l="1"/>
  <c r="B63" i="12"/>
  <c r="B62" i="12"/>
  <c r="B96" i="12"/>
  <c r="E24" i="1"/>
  <c r="D24" i="1"/>
  <c r="B10" i="33" s="1"/>
  <c r="B33" i="12" l="1"/>
  <c r="C84" i="2"/>
  <c r="P73" i="2"/>
  <c r="P81" i="2"/>
  <c r="P77" i="2"/>
  <c r="A73" i="2"/>
  <c r="A81" i="2"/>
  <c r="A79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Z73" i="2"/>
  <c r="Y73" i="2"/>
  <c r="W73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Z81" i="2"/>
  <c r="Y81" i="2"/>
  <c r="W81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Z79" i="2"/>
  <c r="Y79" i="2"/>
  <c r="W79" i="2"/>
  <c r="P79" i="2"/>
  <c r="A39" i="2"/>
  <c r="B9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Z39" i="2"/>
  <c r="Y39" i="2"/>
  <c r="W39" i="2"/>
  <c r="H39" i="2"/>
  <c r="E33" i="1" l="1"/>
  <c r="E40" i="1" l="1"/>
  <c r="D59" i="11"/>
  <c r="D57" i="11"/>
  <c r="H31" i="2" l="1"/>
  <c r="B9" i="12" l="1"/>
  <c r="B8" i="12"/>
  <c r="B6" i="12" l="1"/>
  <c r="B7" i="12"/>
  <c r="B11" i="11"/>
  <c r="E96" i="11" l="1"/>
  <c r="F96" i="11" s="1"/>
  <c r="E104" i="11"/>
  <c r="B12" i="11"/>
  <c r="B17" i="11"/>
  <c r="B16" i="11"/>
  <c r="B14" i="11"/>
  <c r="B18" i="11"/>
  <c r="B13" i="11"/>
  <c r="B15" i="11"/>
  <c r="E74" i="11" l="1"/>
  <c r="F74" i="11" s="1"/>
  <c r="E82" i="11"/>
  <c r="E206" i="11"/>
  <c r="F206" i="11" s="1"/>
  <c r="E214" i="11"/>
  <c r="E118" i="11"/>
  <c r="F118" i="11" s="1"/>
  <c r="E126" i="11"/>
  <c r="E184" i="11"/>
  <c r="F184" i="11" s="1"/>
  <c r="E192" i="11"/>
  <c r="E250" i="11"/>
  <c r="F250" i="11" s="1"/>
  <c r="E258" i="11"/>
  <c r="E162" i="11"/>
  <c r="F162" i="11" s="1"/>
  <c r="E170" i="11"/>
  <c r="E236" i="11"/>
  <c r="E228" i="11"/>
  <c r="F228" i="11" s="1"/>
  <c r="E140" i="11"/>
  <c r="F140" i="11" s="1"/>
  <c r="E148" i="11"/>
  <c r="C19" i="2" l="1"/>
  <c r="F33" i="1"/>
  <c r="F40" i="1" l="1"/>
  <c r="G15" i="2"/>
  <c r="G14" i="2"/>
  <c r="G16" i="2"/>
  <c r="F38" i="1"/>
  <c r="F39" i="1"/>
  <c r="G17" i="2" l="1"/>
  <c r="F41" i="1"/>
  <c r="D33" i="1"/>
  <c r="B19" i="33" s="1"/>
  <c r="B233" i="12" l="1"/>
  <c r="F14" i="33"/>
  <c r="F15" i="33"/>
  <c r="F16" i="33"/>
  <c r="F34" i="1"/>
  <c r="E34" i="1"/>
  <c r="D34" i="1"/>
  <c r="F260" i="11"/>
  <c r="E260" i="11"/>
  <c r="D260" i="11"/>
  <c r="F238" i="11"/>
  <c r="E238" i="11"/>
  <c r="D238" i="11"/>
  <c r="F216" i="11"/>
  <c r="E216" i="11"/>
  <c r="D216" i="11"/>
  <c r="F194" i="11"/>
  <c r="E194" i="11"/>
  <c r="D194" i="11"/>
  <c r="F172" i="11"/>
  <c r="E172" i="11"/>
  <c r="D172" i="11"/>
  <c r="F258" i="11"/>
  <c r="A212" i="12"/>
  <c r="A211" i="12"/>
  <c r="A210" i="12"/>
  <c r="A209" i="12"/>
  <c r="A191" i="12"/>
  <c r="A190" i="12"/>
  <c r="A189" i="12"/>
  <c r="A188" i="12"/>
  <c r="A170" i="12"/>
  <c r="A169" i="12"/>
  <c r="A168" i="12"/>
  <c r="A167" i="12"/>
  <c r="A149" i="12"/>
  <c r="A148" i="12"/>
  <c r="A147" i="12"/>
  <c r="A146" i="12"/>
  <c r="A128" i="12"/>
  <c r="A127" i="12"/>
  <c r="A126" i="12"/>
  <c r="A125" i="12"/>
  <c r="G61" i="33" l="1"/>
  <c r="G49" i="33"/>
  <c r="G37" i="33"/>
  <c r="G67" i="32"/>
  <c r="G53" i="32"/>
  <c r="G45" i="32"/>
  <c r="G31" i="32"/>
  <c r="G39" i="31"/>
  <c r="G33" i="30"/>
  <c r="G65" i="29"/>
  <c r="G43" i="29"/>
  <c r="G63" i="28"/>
  <c r="G51" i="28"/>
  <c r="G41" i="28"/>
  <c r="G33" i="27"/>
  <c r="G63" i="26"/>
  <c r="G51" i="26"/>
  <c r="G41" i="26"/>
  <c r="G35" i="25"/>
  <c r="G65" i="24"/>
  <c r="G43" i="24"/>
  <c r="G69" i="33"/>
  <c r="G55" i="33"/>
  <c r="G63" i="32"/>
  <c r="G51" i="32"/>
  <c r="G41" i="32"/>
  <c r="G35" i="33"/>
  <c r="G65" i="32"/>
  <c r="G43" i="32"/>
  <c r="G71" i="31"/>
  <c r="G61" i="31"/>
  <c r="G49" i="31"/>
  <c r="G37" i="31"/>
  <c r="G22" i="31"/>
  <c r="G67" i="30"/>
  <c r="G53" i="30"/>
  <c r="G45" i="30"/>
  <c r="G31" i="30"/>
  <c r="G63" i="29"/>
  <c r="G51" i="29"/>
  <c r="G41" i="29"/>
  <c r="G39" i="28"/>
  <c r="G67" i="27"/>
  <c r="G53" i="27"/>
  <c r="G45" i="27"/>
  <c r="G31" i="27"/>
  <c r="G39" i="26"/>
  <c r="G69" i="25"/>
  <c r="G59" i="25"/>
  <c r="G55" i="25"/>
  <c r="G47" i="25"/>
  <c r="G63" i="24"/>
  <c r="G51" i="24"/>
  <c r="G41" i="24"/>
  <c r="G59" i="33"/>
  <c r="G47" i="33"/>
  <c r="G35" i="31"/>
  <c r="G65" i="30"/>
  <c r="G43" i="30"/>
  <c r="G39" i="29"/>
  <c r="G71" i="28"/>
  <c r="G61" i="28"/>
  <c r="G49" i="28"/>
  <c r="G37" i="28"/>
  <c r="G22" i="28"/>
  <c r="G65" i="27"/>
  <c r="G43" i="27"/>
  <c r="G71" i="26"/>
  <c r="G61" i="26"/>
  <c r="G49" i="26"/>
  <c r="G37" i="26"/>
  <c r="G22" i="26"/>
  <c r="G33" i="25"/>
  <c r="G39" i="24"/>
  <c r="G22" i="24"/>
  <c r="G33" i="33"/>
  <c r="G22" i="32"/>
  <c r="G69" i="31"/>
  <c r="G59" i="31"/>
  <c r="G55" i="31"/>
  <c r="G47" i="31"/>
  <c r="G63" i="30"/>
  <c r="G41" i="30"/>
  <c r="G49" i="29"/>
  <c r="G35" i="28"/>
  <c r="G63" i="27"/>
  <c r="G41" i="27"/>
  <c r="G35" i="26"/>
  <c r="G67" i="25"/>
  <c r="G53" i="25"/>
  <c r="G61" i="24"/>
  <c r="G37" i="24"/>
  <c r="G63" i="25"/>
  <c r="G51" i="25"/>
  <c r="G59" i="24"/>
  <c r="G67" i="33"/>
  <c r="G53" i="33"/>
  <c r="G45" i="33"/>
  <c r="G31" i="33"/>
  <c r="G71" i="32"/>
  <c r="G61" i="32"/>
  <c r="G49" i="32"/>
  <c r="G37" i="32"/>
  <c r="G33" i="31"/>
  <c r="G39" i="30"/>
  <c r="G22" i="30"/>
  <c r="G35" i="29"/>
  <c r="G69" i="28"/>
  <c r="G59" i="28"/>
  <c r="G55" i="28"/>
  <c r="G47" i="28"/>
  <c r="G39" i="27"/>
  <c r="G22" i="27"/>
  <c r="G69" i="26"/>
  <c r="G59" i="26"/>
  <c r="G55" i="26"/>
  <c r="G47" i="26"/>
  <c r="G65" i="25"/>
  <c r="G43" i="25"/>
  <c r="G35" i="24"/>
  <c r="G65" i="33"/>
  <c r="G43" i="33"/>
  <c r="G35" i="32"/>
  <c r="G67" i="31"/>
  <c r="G53" i="31"/>
  <c r="G45" i="31"/>
  <c r="G31" i="31"/>
  <c r="G71" i="30"/>
  <c r="G61" i="30"/>
  <c r="G49" i="30"/>
  <c r="G37" i="30"/>
  <c r="G69" i="29"/>
  <c r="G59" i="29"/>
  <c r="G55" i="29"/>
  <c r="G47" i="29"/>
  <c r="G33" i="28"/>
  <c r="G71" i="27"/>
  <c r="G61" i="27"/>
  <c r="G63" i="33"/>
  <c r="G51" i="33"/>
  <c r="G41" i="33"/>
  <c r="G69" i="32"/>
  <c r="G59" i="32"/>
  <c r="G55" i="32"/>
  <c r="G47" i="32"/>
  <c r="G65" i="31"/>
  <c r="G43" i="31"/>
  <c r="G35" i="30"/>
  <c r="G33" i="29"/>
  <c r="G67" i="28"/>
  <c r="G53" i="28"/>
  <c r="G45" i="28"/>
  <c r="G31" i="28"/>
  <c r="G35" i="27"/>
  <c r="G67" i="26"/>
  <c r="G53" i="26"/>
  <c r="G45" i="26"/>
  <c r="G31" i="26"/>
  <c r="G39" i="25"/>
  <c r="G33" i="24"/>
  <c r="G39" i="33"/>
  <c r="G33" i="32"/>
  <c r="G63" i="31"/>
  <c r="G51" i="31"/>
  <c r="G41" i="31"/>
  <c r="G69" i="30"/>
  <c r="G59" i="30"/>
  <c r="G55" i="30"/>
  <c r="G47" i="30"/>
  <c r="G67" i="29"/>
  <c r="G53" i="29"/>
  <c r="G45" i="29"/>
  <c r="G31" i="29"/>
  <c r="G65" i="28"/>
  <c r="G43" i="28"/>
  <c r="G69" i="27"/>
  <c r="G59" i="27"/>
  <c r="G55" i="27"/>
  <c r="G47" i="27"/>
  <c r="G65" i="26"/>
  <c r="G43" i="26"/>
  <c r="G71" i="25"/>
  <c r="G61" i="25"/>
  <c r="G49" i="25"/>
  <c r="G37" i="25"/>
  <c r="G22" i="25"/>
  <c r="G67" i="24"/>
  <c r="G53" i="24"/>
  <c r="G45" i="24"/>
  <c r="G31" i="24"/>
  <c r="G33" i="2"/>
  <c r="G39" i="32"/>
  <c r="G51" i="30"/>
  <c r="G71" i="29"/>
  <c r="G61" i="29"/>
  <c r="G37" i="29"/>
  <c r="G22" i="29"/>
  <c r="G51" i="27"/>
  <c r="G45" i="25"/>
  <c r="G31" i="25"/>
  <c r="G71" i="24"/>
  <c r="G49" i="24"/>
  <c r="G49" i="27"/>
  <c r="G37" i="27"/>
  <c r="G33" i="26"/>
  <c r="G41" i="25"/>
  <c r="G69" i="24"/>
  <c r="G55" i="24"/>
  <c r="G47" i="24"/>
  <c r="G20" i="26"/>
  <c r="G20" i="32"/>
  <c r="G20" i="27"/>
  <c r="G20" i="24"/>
  <c r="G20" i="25"/>
  <c r="G20" i="31"/>
  <c r="G20" i="30"/>
  <c r="G20" i="28"/>
  <c r="G20" i="29"/>
  <c r="F17" i="33"/>
  <c r="G20" i="33" s="1"/>
  <c r="G22" i="33"/>
  <c r="G39" i="2"/>
  <c r="T39" i="2" s="1"/>
  <c r="G35" i="2"/>
  <c r="G53" i="2"/>
  <c r="G69" i="2"/>
  <c r="G61" i="2"/>
  <c r="G49" i="2"/>
  <c r="G67" i="2"/>
  <c r="G37" i="2"/>
  <c r="G55" i="2"/>
  <c r="G71" i="2"/>
  <c r="G41" i="2"/>
  <c r="G31" i="2"/>
  <c r="G47" i="2"/>
  <c r="G51" i="2"/>
  <c r="G43" i="2"/>
  <c r="G59" i="2"/>
  <c r="G45" i="2"/>
  <c r="G63" i="2"/>
  <c r="G65" i="2"/>
  <c r="G22" i="2"/>
  <c r="F214" i="11"/>
  <c r="F217" i="11" s="1"/>
  <c r="F192" i="11"/>
  <c r="E195" i="11" s="1"/>
  <c r="F170" i="11"/>
  <c r="E173" i="11" s="1"/>
  <c r="E174" i="11" s="1"/>
  <c r="F261" i="11"/>
  <c r="D261" i="11"/>
  <c r="E261" i="11"/>
  <c r="G21" i="24" l="1"/>
  <c r="P87" i="24"/>
  <c r="Q87" i="24" s="1"/>
  <c r="P86" i="24"/>
  <c r="P86" i="33"/>
  <c r="P87" i="33"/>
  <c r="Q87" i="33" s="1"/>
  <c r="G21" i="27"/>
  <c r="P87" i="27"/>
  <c r="Q87" i="27" s="1"/>
  <c r="P86" i="27"/>
  <c r="G21" i="31"/>
  <c r="P87" i="31"/>
  <c r="Q87" i="31" s="1"/>
  <c r="P86" i="31"/>
  <c r="G21" i="32"/>
  <c r="P86" i="32"/>
  <c r="P87" i="32"/>
  <c r="Q87" i="32" s="1"/>
  <c r="P87" i="25"/>
  <c r="Q87" i="25" s="1"/>
  <c r="P86" i="25"/>
  <c r="G21" i="25"/>
  <c r="G21" i="29"/>
  <c r="P87" i="29"/>
  <c r="Q87" i="29" s="1"/>
  <c r="P86" i="29"/>
  <c r="G21" i="26"/>
  <c r="P87" i="26"/>
  <c r="Q87" i="26" s="1"/>
  <c r="P86" i="26"/>
  <c r="P87" i="28"/>
  <c r="Q87" i="28" s="1"/>
  <c r="P86" i="28"/>
  <c r="G21" i="28"/>
  <c r="G21" i="30"/>
  <c r="P86" i="30"/>
  <c r="P87" i="30"/>
  <c r="Q87" i="30" s="1"/>
  <c r="F229" i="12"/>
  <c r="G21" i="33"/>
  <c r="F27" i="12"/>
  <c r="B34" i="12" s="1"/>
  <c r="B35" i="12" s="1"/>
  <c r="F111" i="12"/>
  <c r="B118" i="12" s="1"/>
  <c r="B119" i="12" s="1"/>
  <c r="F195" i="12"/>
  <c r="B202" i="12" s="1"/>
  <c r="B203" i="12" s="1"/>
  <c r="F153" i="12"/>
  <c r="B160" i="12" s="1"/>
  <c r="B161" i="12" s="1"/>
  <c r="F90" i="12"/>
  <c r="B97" i="12" s="1"/>
  <c r="B98" i="12" s="1"/>
  <c r="F69" i="12"/>
  <c r="B76" i="12" s="1"/>
  <c r="B77" i="12" s="1"/>
  <c r="F48" i="12"/>
  <c r="B55" i="12" s="1"/>
  <c r="B56" i="12" s="1"/>
  <c r="F132" i="12"/>
  <c r="B139" i="12" s="1"/>
  <c r="B140" i="12" s="1"/>
  <c r="F174" i="12"/>
  <c r="B181" i="12" s="1"/>
  <c r="B182" i="12" s="1"/>
  <c r="D195" i="11"/>
  <c r="D196" i="11" s="1"/>
  <c r="D197" i="11" s="1"/>
  <c r="F195" i="11"/>
  <c r="F196" i="11" s="1"/>
  <c r="F197" i="11" s="1"/>
  <c r="E217" i="11"/>
  <c r="E218" i="11" s="1"/>
  <c r="E219" i="11" s="1"/>
  <c r="D173" i="11"/>
  <c r="D174" i="11" s="1"/>
  <c r="D175" i="11" s="1"/>
  <c r="F173" i="11"/>
  <c r="F174" i="11" s="1"/>
  <c r="F175" i="11" s="1"/>
  <c r="F218" i="11"/>
  <c r="F219" i="11" s="1"/>
  <c r="E196" i="11"/>
  <c r="E197" i="11" s="1"/>
  <c r="F236" i="11"/>
  <c r="D217" i="11"/>
  <c r="E175" i="11"/>
  <c r="D262" i="11"/>
  <c r="D263" i="11" s="1"/>
  <c r="E262" i="11"/>
  <c r="E263" i="11" s="1"/>
  <c r="F262" i="11"/>
  <c r="F263" i="11" s="1"/>
  <c r="D17" i="11" l="1"/>
  <c r="F239" i="11"/>
  <c r="D239" i="11"/>
  <c r="E239" i="11"/>
  <c r="D14" i="11"/>
  <c r="D18" i="11"/>
  <c r="D218" i="11"/>
  <c r="D219" i="11" s="1"/>
  <c r="D16" i="11"/>
  <c r="D15" i="11"/>
  <c r="E240" i="11" l="1"/>
  <c r="E241" i="11" s="1"/>
  <c r="D240" i="11"/>
  <c r="D241" i="11" s="1"/>
  <c r="F240" i="11"/>
  <c r="F241" i="11" s="1"/>
  <c r="A244" i="12" l="1"/>
  <c r="A105" i="12"/>
  <c r="A84" i="12"/>
  <c r="A63" i="12"/>
  <c r="A42" i="12"/>
  <c r="A21" i="12"/>
  <c r="A246" i="12"/>
  <c r="A245" i="12"/>
  <c r="A243" i="12"/>
  <c r="A107" i="12" l="1"/>
  <c r="A106" i="12"/>
  <c r="A104" i="12"/>
  <c r="A86" i="12"/>
  <c r="A85" i="12"/>
  <c r="A83" i="12"/>
  <c r="A65" i="12"/>
  <c r="A64" i="12"/>
  <c r="A62" i="12"/>
  <c r="A44" i="12"/>
  <c r="A43" i="12"/>
  <c r="A41" i="12"/>
  <c r="A20" i="12"/>
  <c r="F84" i="2" l="1"/>
  <c r="B19" i="2"/>
  <c r="B10" i="12" l="1"/>
  <c r="B9" i="11" s="1"/>
  <c r="F16" i="2"/>
  <c r="F15" i="2"/>
  <c r="F14" i="2"/>
  <c r="B19" i="11" l="1"/>
  <c r="E52" i="11"/>
  <c r="F52" i="11" s="1"/>
  <c r="E60" i="11"/>
  <c r="F60" i="11" s="1"/>
  <c r="D63" i="11" s="1"/>
  <c r="E30" i="11" l="1"/>
  <c r="F30" i="11" s="1"/>
  <c r="E38" i="11"/>
  <c r="F38" i="11" s="1"/>
  <c r="E41" i="11" s="1"/>
  <c r="E42" i="11" s="1"/>
  <c r="E43" i="11" s="1"/>
  <c r="E39" i="1"/>
  <c r="E38" i="1"/>
  <c r="W31" i="2"/>
  <c r="W35" i="2"/>
  <c r="W37" i="2"/>
  <c r="W41" i="2"/>
  <c r="W43" i="2"/>
  <c r="W45" i="2"/>
  <c r="W47" i="2"/>
  <c r="W49" i="2"/>
  <c r="W53" i="2"/>
  <c r="W55" i="2"/>
  <c r="W57" i="2"/>
  <c r="W59" i="2"/>
  <c r="W61" i="2"/>
  <c r="W63" i="2"/>
  <c r="W65" i="2"/>
  <c r="W67" i="2"/>
  <c r="W69" i="2"/>
  <c r="W71" i="2"/>
  <c r="Y31" i="2"/>
  <c r="Y35" i="2"/>
  <c r="Y37" i="2"/>
  <c r="Y41" i="2"/>
  <c r="Y43" i="2"/>
  <c r="Y45" i="2"/>
  <c r="Y47" i="2"/>
  <c r="Y49" i="2"/>
  <c r="Y53" i="2"/>
  <c r="Y55" i="2"/>
  <c r="Y57" i="2"/>
  <c r="Y59" i="2"/>
  <c r="Y61" i="2"/>
  <c r="Y63" i="2"/>
  <c r="Y65" i="2"/>
  <c r="Y67" i="2"/>
  <c r="Y69" i="2"/>
  <c r="Y71" i="2"/>
  <c r="Z31" i="2"/>
  <c r="Z35" i="2"/>
  <c r="Z37" i="2"/>
  <c r="Z41" i="2"/>
  <c r="Z43" i="2"/>
  <c r="Z45" i="2"/>
  <c r="Z47" i="2"/>
  <c r="Z49" i="2"/>
  <c r="Z51" i="2"/>
  <c r="Z53" i="2"/>
  <c r="Z55" i="2"/>
  <c r="Z57" i="2"/>
  <c r="Z59" i="2"/>
  <c r="Z61" i="2"/>
  <c r="Z63" i="2"/>
  <c r="Z65" i="2"/>
  <c r="Z67" i="2"/>
  <c r="Z69" i="2"/>
  <c r="Z71" i="2"/>
  <c r="AB31" i="2"/>
  <c r="AB35" i="2"/>
  <c r="AB37" i="2"/>
  <c r="AB41" i="2"/>
  <c r="AB43" i="2"/>
  <c r="AB45" i="2"/>
  <c r="AB47" i="2"/>
  <c r="AB49" i="2"/>
  <c r="AB51" i="2"/>
  <c r="AB53" i="2"/>
  <c r="AB55" i="2"/>
  <c r="AB57" i="2"/>
  <c r="AB59" i="2"/>
  <c r="AB61" i="2"/>
  <c r="AB63" i="2"/>
  <c r="AB65" i="2"/>
  <c r="AB67" i="2"/>
  <c r="AB69" i="2"/>
  <c r="AB71" i="2"/>
  <c r="AC31" i="2"/>
  <c r="AC35" i="2"/>
  <c r="AC37" i="2"/>
  <c r="AC41" i="2"/>
  <c r="AC43" i="2"/>
  <c r="AC45" i="2"/>
  <c r="AC47" i="2"/>
  <c r="AC49" i="2"/>
  <c r="AC51" i="2"/>
  <c r="AC55" i="2"/>
  <c r="AC57" i="2"/>
  <c r="AC59" i="2"/>
  <c r="AC61" i="2"/>
  <c r="AC63" i="2"/>
  <c r="AC65" i="2"/>
  <c r="AC67" i="2"/>
  <c r="AC69" i="2"/>
  <c r="AC71" i="2"/>
  <c r="AD35" i="2"/>
  <c r="AD37" i="2"/>
  <c r="AD41" i="2"/>
  <c r="AD43" i="2"/>
  <c r="AD45" i="2"/>
  <c r="AD47" i="2"/>
  <c r="AD49" i="2"/>
  <c r="AD51" i="2"/>
  <c r="AD53" i="2"/>
  <c r="AD55" i="2"/>
  <c r="AD57" i="2"/>
  <c r="AD59" i="2"/>
  <c r="AD61" i="2"/>
  <c r="AD63" i="2"/>
  <c r="AD65" i="2"/>
  <c r="AD67" i="2"/>
  <c r="AD69" i="2"/>
  <c r="AD71" i="2"/>
  <c r="AE35" i="2"/>
  <c r="AE37" i="2"/>
  <c r="AE41" i="2"/>
  <c r="AE43" i="2"/>
  <c r="AE47" i="2"/>
  <c r="AE49" i="2"/>
  <c r="AE51" i="2"/>
  <c r="AE53" i="2"/>
  <c r="AE55" i="2"/>
  <c r="AE57" i="2"/>
  <c r="AE59" i="2"/>
  <c r="AE61" i="2"/>
  <c r="AE63" i="2"/>
  <c r="AE65" i="2"/>
  <c r="AE67" i="2"/>
  <c r="AE69" i="2"/>
  <c r="AE71" i="2"/>
  <c r="AF31" i="2"/>
  <c r="AF35" i="2"/>
  <c r="AF37" i="2"/>
  <c r="AF41" i="2"/>
  <c r="AF43" i="2"/>
  <c r="AF45" i="2"/>
  <c r="AF47" i="2"/>
  <c r="AF49" i="2"/>
  <c r="AF51" i="2"/>
  <c r="AF53" i="2"/>
  <c r="AF55" i="2"/>
  <c r="AF57" i="2"/>
  <c r="AF59" i="2"/>
  <c r="AF61" i="2"/>
  <c r="AF63" i="2"/>
  <c r="AF65" i="2"/>
  <c r="AF67" i="2"/>
  <c r="AF69" i="2"/>
  <c r="AF71" i="2"/>
  <c r="H49" i="2"/>
  <c r="AG37" i="2"/>
  <c r="AG41" i="2"/>
  <c r="AG43" i="2"/>
  <c r="AG45" i="2"/>
  <c r="AG47" i="2"/>
  <c r="AG49" i="2"/>
  <c r="AG51" i="2"/>
  <c r="AG55" i="2"/>
  <c r="AG57" i="2"/>
  <c r="AG59" i="2"/>
  <c r="AG61" i="2"/>
  <c r="AG63" i="2"/>
  <c r="AG65" i="2"/>
  <c r="AG67" i="2"/>
  <c r="AG69" i="2"/>
  <c r="AG71" i="2"/>
  <c r="AI31" i="2"/>
  <c r="AI35" i="2"/>
  <c r="AI37" i="2"/>
  <c r="AI41" i="2"/>
  <c r="AI43" i="2"/>
  <c r="AI45" i="2"/>
  <c r="AI47" i="2"/>
  <c r="AI49" i="2"/>
  <c r="AI51" i="2"/>
  <c r="AI53" i="2"/>
  <c r="AI55" i="2"/>
  <c r="AI57" i="2"/>
  <c r="AI59" i="2"/>
  <c r="AI61" i="2"/>
  <c r="AI63" i="2"/>
  <c r="AI65" i="2"/>
  <c r="AI67" i="2"/>
  <c r="AI69" i="2"/>
  <c r="AI71" i="2"/>
  <c r="AJ31" i="2"/>
  <c r="AJ35" i="2"/>
  <c r="AJ37" i="2"/>
  <c r="AJ41" i="2"/>
  <c r="AJ43" i="2"/>
  <c r="AJ45" i="2"/>
  <c r="AJ47" i="2"/>
  <c r="AJ49" i="2"/>
  <c r="AJ51" i="2"/>
  <c r="AJ53" i="2"/>
  <c r="AJ55" i="2"/>
  <c r="AJ57" i="2"/>
  <c r="AJ59" i="2"/>
  <c r="AJ61" i="2"/>
  <c r="AJ63" i="2"/>
  <c r="AJ65" i="2"/>
  <c r="AJ67" i="2"/>
  <c r="AJ69" i="2"/>
  <c r="AJ71" i="2"/>
  <c r="AM31" i="2"/>
  <c r="AM35" i="2"/>
  <c r="AM37" i="2"/>
  <c r="AM41" i="2"/>
  <c r="AM43" i="2"/>
  <c r="AM45" i="2"/>
  <c r="AM47" i="2"/>
  <c r="AM49" i="2"/>
  <c r="AM51" i="2"/>
  <c r="AM53" i="2"/>
  <c r="AM55" i="2"/>
  <c r="AM57" i="2"/>
  <c r="AM59" i="2"/>
  <c r="AM61" i="2"/>
  <c r="AM63" i="2"/>
  <c r="AM65" i="2"/>
  <c r="AM67" i="2"/>
  <c r="AM69" i="2"/>
  <c r="AM71" i="2"/>
  <c r="AN31" i="2"/>
  <c r="AN35" i="2"/>
  <c r="AN37" i="2"/>
  <c r="AN41" i="2"/>
  <c r="AN43" i="2"/>
  <c r="AN45" i="2"/>
  <c r="AN47" i="2"/>
  <c r="AN49" i="2"/>
  <c r="AN51" i="2"/>
  <c r="AN53" i="2"/>
  <c r="AN55" i="2"/>
  <c r="AN57" i="2"/>
  <c r="AN59" i="2"/>
  <c r="AN61" i="2"/>
  <c r="AN63" i="2"/>
  <c r="AN65" i="2"/>
  <c r="AN67" i="2"/>
  <c r="AN69" i="2"/>
  <c r="AN71" i="2"/>
  <c r="AO31" i="2"/>
  <c r="AO35" i="2"/>
  <c r="AO37" i="2"/>
  <c r="AO41" i="2"/>
  <c r="AO43" i="2"/>
  <c r="AO45" i="2"/>
  <c r="AO47" i="2"/>
  <c r="AO49" i="2"/>
  <c r="AO51" i="2"/>
  <c r="AO53" i="2"/>
  <c r="AO55" i="2"/>
  <c r="AO57" i="2"/>
  <c r="AO59" i="2"/>
  <c r="AO61" i="2"/>
  <c r="AO65" i="2"/>
  <c r="AO67" i="2"/>
  <c r="AO69" i="2"/>
  <c r="AO71" i="2"/>
  <c r="AQ31" i="2"/>
  <c r="AQ35" i="2"/>
  <c r="AQ37" i="2"/>
  <c r="AQ41" i="2"/>
  <c r="AQ43" i="2"/>
  <c r="AQ45" i="2"/>
  <c r="AQ47" i="2"/>
  <c r="AQ49" i="2"/>
  <c r="AQ51" i="2"/>
  <c r="AQ53" i="2"/>
  <c r="AQ55" i="2"/>
  <c r="AQ57" i="2"/>
  <c r="AQ59" i="2"/>
  <c r="AQ61" i="2"/>
  <c r="AQ63" i="2"/>
  <c r="AQ65" i="2"/>
  <c r="AQ67" i="2"/>
  <c r="AQ69" i="2"/>
  <c r="AQ71" i="2"/>
  <c r="F82" i="11"/>
  <c r="H35" i="2"/>
  <c r="H37" i="2"/>
  <c r="H41" i="2"/>
  <c r="H43" i="2"/>
  <c r="H45" i="2"/>
  <c r="H47" i="2"/>
  <c r="H51" i="2"/>
  <c r="H55" i="2"/>
  <c r="H57" i="2"/>
  <c r="H63" i="2"/>
  <c r="H65" i="2"/>
  <c r="H67" i="2"/>
  <c r="H71" i="2"/>
  <c r="H53" i="2"/>
  <c r="H59" i="2"/>
  <c r="H61" i="2"/>
  <c r="H69" i="2"/>
  <c r="E84" i="2"/>
  <c r="W77" i="2"/>
  <c r="W75" i="2"/>
  <c r="Y77" i="2"/>
  <c r="Y75" i="2"/>
  <c r="Z77" i="2"/>
  <c r="Z75" i="2"/>
  <c r="AB77" i="2"/>
  <c r="AB75" i="2"/>
  <c r="AC77" i="2"/>
  <c r="AC75" i="2"/>
  <c r="AD77" i="2"/>
  <c r="AD75" i="2"/>
  <c r="AE77" i="2"/>
  <c r="AE75" i="2"/>
  <c r="AF77" i="2"/>
  <c r="AF75" i="2"/>
  <c r="AG77" i="2"/>
  <c r="AG75" i="2"/>
  <c r="AI77" i="2"/>
  <c r="AI75" i="2"/>
  <c r="AJ77" i="2"/>
  <c r="AJ75" i="2"/>
  <c r="AM77" i="2"/>
  <c r="AM75" i="2"/>
  <c r="AN77" i="2"/>
  <c r="AN75" i="2"/>
  <c r="AO77" i="2"/>
  <c r="AO75" i="2"/>
  <c r="AQ77" i="2"/>
  <c r="AQ75" i="2"/>
  <c r="P75" i="2"/>
  <c r="AH31" i="2"/>
  <c r="AH35" i="2"/>
  <c r="AH37" i="2"/>
  <c r="AH41" i="2"/>
  <c r="AH43" i="2"/>
  <c r="AH45" i="2"/>
  <c r="AH47" i="2"/>
  <c r="AH49" i="2"/>
  <c r="AH51" i="2"/>
  <c r="AH53" i="2"/>
  <c r="AH55" i="2"/>
  <c r="AH57" i="2"/>
  <c r="AH59" i="2"/>
  <c r="AH61" i="2"/>
  <c r="AH63" i="2"/>
  <c r="AH65" i="2"/>
  <c r="AH67" i="2"/>
  <c r="AH69" i="2"/>
  <c r="AH71" i="2"/>
  <c r="AH77" i="2"/>
  <c r="AH75" i="2"/>
  <c r="E15" i="1"/>
  <c r="A23" i="12"/>
  <c r="A22" i="12"/>
  <c r="A19" i="12"/>
  <c r="A18" i="12"/>
  <c r="AK31" i="2"/>
  <c r="AK35" i="2"/>
  <c r="AK37" i="2"/>
  <c r="AK41" i="2"/>
  <c r="AK43" i="2"/>
  <c r="AK45" i="2"/>
  <c r="AK47" i="2"/>
  <c r="AK49" i="2"/>
  <c r="AK51" i="2"/>
  <c r="AK53" i="2"/>
  <c r="AK55" i="2"/>
  <c r="AK57" i="2"/>
  <c r="AK59" i="2"/>
  <c r="AK65" i="2"/>
  <c r="AK67" i="2"/>
  <c r="AK69" i="2"/>
  <c r="AK71" i="2"/>
  <c r="AL31" i="2"/>
  <c r="AL35" i="2"/>
  <c r="AL37" i="2"/>
  <c r="AL41" i="2"/>
  <c r="AL43" i="2"/>
  <c r="AL45" i="2"/>
  <c r="AL47" i="2"/>
  <c r="AL49" i="2"/>
  <c r="AL51" i="2"/>
  <c r="AL53" i="2"/>
  <c r="AL55" i="2"/>
  <c r="AL57" i="2"/>
  <c r="AL59" i="2"/>
  <c r="AL61" i="2"/>
  <c r="AL63" i="2"/>
  <c r="AL65" i="2"/>
  <c r="AL67" i="2"/>
  <c r="AL69" i="2"/>
  <c r="AL71" i="2"/>
  <c r="AP31" i="2"/>
  <c r="AP35" i="2"/>
  <c r="AP37" i="2"/>
  <c r="AP41" i="2"/>
  <c r="AP43" i="2"/>
  <c r="AP45" i="2"/>
  <c r="AP47" i="2"/>
  <c r="AP49" i="2"/>
  <c r="AP51" i="2"/>
  <c r="AP53" i="2"/>
  <c r="AP55" i="2"/>
  <c r="AP57" i="2"/>
  <c r="AP59" i="2"/>
  <c r="AP61" i="2"/>
  <c r="AP63" i="2"/>
  <c r="AP65" i="2"/>
  <c r="AP67" i="2"/>
  <c r="AP69" i="2"/>
  <c r="AP71" i="2"/>
  <c r="A75" i="2"/>
  <c r="AP75" i="2"/>
  <c r="AL75" i="2"/>
  <c r="AK75" i="2"/>
  <c r="F150" i="11"/>
  <c r="E150" i="11"/>
  <c r="D150" i="11"/>
  <c r="F128" i="11"/>
  <c r="E128" i="11"/>
  <c r="D128" i="11"/>
  <c r="F106" i="11"/>
  <c r="E106" i="11"/>
  <c r="D106" i="11"/>
  <c r="F84" i="11"/>
  <c r="E84" i="11"/>
  <c r="D84" i="11"/>
  <c r="AK77" i="2"/>
  <c r="AL77" i="2"/>
  <c r="AP77" i="2"/>
  <c r="A77" i="2"/>
  <c r="A57" i="2"/>
  <c r="M26" i="11"/>
  <c r="F62" i="11"/>
  <c r="A51" i="2"/>
  <c r="A49" i="2"/>
  <c r="A47" i="2"/>
  <c r="A69" i="2"/>
  <c r="A61" i="2"/>
  <c r="A59" i="2"/>
  <c r="A45" i="2"/>
  <c r="A65" i="2"/>
  <c r="A63" i="2"/>
  <c r="A71" i="2"/>
  <c r="A67" i="2"/>
  <c r="A41" i="2"/>
  <c r="A37" i="2"/>
  <c r="A35" i="2"/>
  <c r="A31" i="2"/>
  <c r="A55" i="2"/>
  <c r="A53" i="2"/>
  <c r="A43" i="2"/>
  <c r="N25" i="11"/>
  <c r="J25" i="11" s="1"/>
  <c r="E62" i="11"/>
  <c r="D62" i="11"/>
  <c r="L21" i="11"/>
  <c r="K21" i="11"/>
  <c r="J21" i="11"/>
  <c r="D41" i="11" l="1"/>
  <c r="D42" i="11" s="1"/>
  <c r="D43" i="11" s="1"/>
  <c r="F41" i="11"/>
  <c r="F42" i="11" s="1"/>
  <c r="F43" i="11" s="1"/>
  <c r="K25" i="11"/>
  <c r="E41" i="1"/>
  <c r="E45" i="1" s="1"/>
  <c r="M27" i="11"/>
  <c r="N26" i="11"/>
  <c r="L25" i="11"/>
  <c r="A187" i="12"/>
  <c r="A208" i="12"/>
  <c r="A186" i="12"/>
  <c r="A207" i="12"/>
  <c r="A145" i="12"/>
  <c r="A166" i="12"/>
  <c r="A144" i="12"/>
  <c r="A165" i="12"/>
  <c r="A124" i="12"/>
  <c r="A123" i="12"/>
  <c r="D39" i="1"/>
  <c r="D38" i="1"/>
  <c r="D40" i="1"/>
  <c r="A81" i="12"/>
  <c r="A241" i="12"/>
  <c r="A82" i="12"/>
  <c r="A242" i="12"/>
  <c r="F126" i="11"/>
  <c r="F129" i="11" s="1"/>
  <c r="F130" i="11" s="1"/>
  <c r="F131" i="11" s="1"/>
  <c r="F148" i="11"/>
  <c r="F151" i="11" s="1"/>
  <c r="F152" i="11" s="1"/>
  <c r="F153" i="11" s="1"/>
  <c r="F104" i="11"/>
  <c r="E107" i="11" s="1"/>
  <c r="A102" i="12"/>
  <c r="A103" i="12"/>
  <c r="A61" i="12"/>
  <c r="A40" i="12"/>
  <c r="A60" i="12"/>
  <c r="A39" i="12"/>
  <c r="E85" i="11"/>
  <c r="F85" i="11"/>
  <c r="D85" i="11"/>
  <c r="H84" i="2"/>
  <c r="AP85" i="2"/>
  <c r="L69" i="2" s="1"/>
  <c r="M69" i="2" s="1"/>
  <c r="P69" i="2" s="1"/>
  <c r="AL85" i="2"/>
  <c r="L61" i="2" s="1"/>
  <c r="AF85" i="2"/>
  <c r="L49" i="2" s="1"/>
  <c r="AN85" i="2"/>
  <c r="L65" i="2" s="1"/>
  <c r="M65" i="2" s="1"/>
  <c r="P65" i="2" s="1"/>
  <c r="T65" i="2" s="1"/>
  <c r="AB85" i="2"/>
  <c r="L41" i="2" s="1"/>
  <c r="M41" i="2" s="1"/>
  <c r="P41" i="2" s="1"/>
  <c r="T41" i="2" s="1"/>
  <c r="AQ85" i="2"/>
  <c r="L71" i="2" s="1"/>
  <c r="R71" i="2" s="1"/>
  <c r="AH85" i="2"/>
  <c r="L53" i="2" s="1"/>
  <c r="AJ85" i="2"/>
  <c r="L57" i="2" s="1"/>
  <c r="M57" i="2" s="1"/>
  <c r="P57" i="2" s="1"/>
  <c r="AI85" i="2"/>
  <c r="L55" i="2" s="1"/>
  <c r="M55" i="2" s="1"/>
  <c r="P55" i="2" s="1"/>
  <c r="T55" i="2" s="1"/>
  <c r="Z85" i="2"/>
  <c r="AM85" i="2"/>
  <c r="L63" i="2" s="1"/>
  <c r="M63" i="2" s="1"/>
  <c r="P63" i="2" s="1"/>
  <c r="T63" i="2" s="1"/>
  <c r="L37" i="2" l="1"/>
  <c r="M37" i="2" s="1"/>
  <c r="P37" i="2" s="1"/>
  <c r="T37" i="2" s="1"/>
  <c r="M39" i="2"/>
  <c r="P39" i="2" s="1"/>
  <c r="Q39" i="2" s="1"/>
  <c r="M53" i="2"/>
  <c r="P53" i="2" s="1"/>
  <c r="F63" i="11"/>
  <c r="E63" i="11"/>
  <c r="D129" i="11"/>
  <c r="D130" i="11" s="1"/>
  <c r="D131" i="11" s="1"/>
  <c r="L26" i="11"/>
  <c r="K26" i="11"/>
  <c r="J26" i="11"/>
  <c r="N27" i="11"/>
  <c r="M28" i="11"/>
  <c r="D151" i="11"/>
  <c r="D152" i="11" s="1"/>
  <c r="D153" i="11" s="1"/>
  <c r="E129" i="11"/>
  <c r="E130" i="11" s="1"/>
  <c r="E131" i="11" s="1"/>
  <c r="Q69" i="2"/>
  <c r="AC53" i="2"/>
  <c r="AC85" i="2" s="1"/>
  <c r="L43" i="2" s="1"/>
  <c r="M43" i="2" s="1"/>
  <c r="P43" i="2" s="1"/>
  <c r="AG53" i="2"/>
  <c r="F17" i="2"/>
  <c r="G20" i="2" s="1"/>
  <c r="Q55" i="2"/>
  <c r="B107" i="2"/>
  <c r="Q41" i="2"/>
  <c r="B100" i="2"/>
  <c r="Q57" i="2"/>
  <c r="B108" i="2"/>
  <c r="Q65" i="2"/>
  <c r="B112" i="2"/>
  <c r="Q37" i="2"/>
  <c r="B98" i="2"/>
  <c r="Q63" i="2"/>
  <c r="B111" i="2"/>
  <c r="F107" i="11"/>
  <c r="E151" i="11"/>
  <c r="E152" i="11" s="1"/>
  <c r="E153" i="11" s="1"/>
  <c r="D107" i="11"/>
  <c r="AK63" i="2"/>
  <c r="AO63" i="2"/>
  <c r="AO85" i="2" s="1"/>
  <c r="L67" i="2" s="1"/>
  <c r="M67" i="2" s="1"/>
  <c r="P67" i="2" s="1"/>
  <c r="M71" i="2"/>
  <c r="P71" i="2" s="1"/>
  <c r="T71" i="2" s="1"/>
  <c r="M61" i="2"/>
  <c r="P61" i="2" s="1"/>
  <c r="R67" i="2"/>
  <c r="M49" i="2"/>
  <c r="P49" i="2" s="1"/>
  <c r="R69" i="2"/>
  <c r="B114" i="2" s="1"/>
  <c r="D41" i="1"/>
  <c r="D45" i="1" s="1"/>
  <c r="B101" i="2" l="1"/>
  <c r="T43" i="2"/>
  <c r="T67" i="2"/>
  <c r="R61" i="2"/>
  <c r="T61" i="2" s="1"/>
  <c r="R53" i="2"/>
  <c r="B106" i="2" s="1"/>
  <c r="T69" i="2"/>
  <c r="G25" i="2"/>
  <c r="E47" i="1"/>
  <c r="E48" i="1" s="1"/>
  <c r="D11" i="11"/>
  <c r="E108" i="11"/>
  <c r="D13" i="11"/>
  <c r="D108" i="11"/>
  <c r="F108" i="11"/>
  <c r="K27" i="11"/>
  <c r="L27" i="11"/>
  <c r="J27" i="11"/>
  <c r="M29" i="11"/>
  <c r="N28" i="11"/>
  <c r="E46" i="1"/>
  <c r="R49" i="2"/>
  <c r="T49" i="2" s="1"/>
  <c r="Q53" i="2"/>
  <c r="Q43" i="2"/>
  <c r="Q49" i="2"/>
  <c r="Q67" i="2"/>
  <c r="B113" i="2"/>
  <c r="Q71" i="2"/>
  <c r="B115" i="2"/>
  <c r="D47" i="1"/>
  <c r="T53" i="2" l="1"/>
  <c r="G26" i="2"/>
  <c r="L28" i="11"/>
  <c r="K28" i="11"/>
  <c r="J28" i="11"/>
  <c r="N29" i="11"/>
  <c r="M30" i="11"/>
  <c r="F86" i="11"/>
  <c r="E86" i="11"/>
  <c r="D86" i="11"/>
  <c r="B104" i="2"/>
  <c r="Q61" i="2"/>
  <c r="AK61" i="2" s="1"/>
  <c r="AK85" i="2" s="1"/>
  <c r="L59" i="2" s="1"/>
  <c r="B110" i="2"/>
  <c r="D46" i="1"/>
  <c r="D48" i="1"/>
  <c r="M59" i="2" l="1"/>
  <c r="P59" i="2" s="1"/>
  <c r="F7" i="12"/>
  <c r="F6" i="12"/>
  <c r="G21" i="2"/>
  <c r="N30" i="11"/>
  <c r="M31" i="11"/>
  <c r="L29" i="11"/>
  <c r="J29" i="11"/>
  <c r="K29" i="11"/>
  <c r="R59" i="2" l="1"/>
  <c r="B109" i="2" s="1"/>
  <c r="M32" i="11"/>
  <c r="N31" i="11"/>
  <c r="J30" i="11"/>
  <c r="L30" i="11"/>
  <c r="K30" i="11"/>
  <c r="Q59" i="2"/>
  <c r="T59" i="2" l="1"/>
  <c r="K31" i="11"/>
  <c r="L31" i="11"/>
  <c r="J31" i="11"/>
  <c r="M33" i="11"/>
  <c r="N32" i="11"/>
  <c r="B236" i="12" l="1"/>
  <c r="B237" i="12" s="1"/>
  <c r="L32" i="11"/>
  <c r="K32" i="11"/>
  <c r="J32" i="11"/>
  <c r="M34" i="11"/>
  <c r="N33" i="11"/>
  <c r="L33" i="11" l="1"/>
  <c r="J33" i="11"/>
  <c r="K33" i="11"/>
  <c r="M35" i="11"/>
  <c r="N34" i="11"/>
  <c r="D12" i="11"/>
  <c r="L34" i="11" l="1"/>
  <c r="J34" i="11"/>
  <c r="K34" i="11"/>
  <c r="N35" i="11"/>
  <c r="M36" i="11"/>
  <c r="M37" i="11" l="1"/>
  <c r="M46" i="11" s="1"/>
  <c r="N36" i="11"/>
  <c r="K35" i="11"/>
  <c r="J35" i="11"/>
  <c r="L35" i="11"/>
  <c r="N46" i="11" l="1"/>
  <c r="M47" i="11"/>
  <c r="L36" i="11"/>
  <c r="K36" i="11"/>
  <c r="J36" i="11"/>
  <c r="M38" i="11"/>
  <c r="N37" i="11"/>
  <c r="N47" i="11" l="1"/>
  <c r="M48" i="11"/>
  <c r="L46" i="11"/>
  <c r="K46" i="11"/>
  <c r="J46" i="11"/>
  <c r="L37" i="11"/>
  <c r="J37" i="11"/>
  <c r="K37" i="11"/>
  <c r="M39" i="11"/>
  <c r="N38" i="11"/>
  <c r="M49" i="11" l="1"/>
  <c r="N48" i="11"/>
  <c r="L47" i="11"/>
  <c r="K47" i="11"/>
  <c r="J47" i="11"/>
  <c r="L38" i="11"/>
  <c r="J38" i="11"/>
  <c r="K38" i="11"/>
  <c r="M40" i="11"/>
  <c r="N39" i="11"/>
  <c r="W51" i="2"/>
  <c r="W85" i="2" s="1"/>
  <c r="L31" i="2" s="1"/>
  <c r="M31" i="2" s="1"/>
  <c r="Y51" i="2"/>
  <c r="Y85" i="2" s="1"/>
  <c r="L35" i="2" s="1"/>
  <c r="M35" i="2" s="1"/>
  <c r="P35" i="2" s="1"/>
  <c r="T35" i="2" s="1"/>
  <c r="K48" i="11" l="1"/>
  <c r="J48" i="11"/>
  <c r="L48" i="11"/>
  <c r="N49" i="11"/>
  <c r="M50" i="11"/>
  <c r="K39" i="11"/>
  <c r="J39" i="11"/>
  <c r="L39" i="11"/>
  <c r="M41" i="11"/>
  <c r="N40" i="11"/>
  <c r="P31" i="2"/>
  <c r="T31" i="2" s="1"/>
  <c r="N50" i="11" l="1"/>
  <c r="M51" i="11"/>
  <c r="L49" i="11"/>
  <c r="K49" i="11"/>
  <c r="J49" i="11"/>
  <c r="L40" i="11"/>
  <c r="J40" i="11"/>
  <c r="K40" i="11"/>
  <c r="M42" i="11"/>
  <c r="N41" i="11"/>
  <c r="Q31" i="2"/>
  <c r="AE31" i="2" s="1"/>
  <c r="B97" i="2"/>
  <c r="B95" i="2"/>
  <c r="Q35" i="2"/>
  <c r="AG35" i="2" s="1"/>
  <c r="N51" i="11" l="1"/>
  <c r="M52" i="11"/>
  <c r="L50" i="11"/>
  <c r="K50" i="11"/>
  <c r="J50" i="11"/>
  <c r="AG31" i="2"/>
  <c r="AG85" i="2" s="1"/>
  <c r="L51" i="2" s="1"/>
  <c r="M51" i="2" s="1"/>
  <c r="P51" i="2" s="1"/>
  <c r="AD31" i="2"/>
  <c r="AD85" i="2" s="1"/>
  <c r="L45" i="2" s="1"/>
  <c r="L41" i="11"/>
  <c r="J41" i="11"/>
  <c r="K41" i="11"/>
  <c r="M43" i="11"/>
  <c r="N42" i="11"/>
  <c r="E64" i="11"/>
  <c r="F64" i="11"/>
  <c r="D64" i="11"/>
  <c r="M53" i="11" l="1"/>
  <c r="N53" i="11" s="1"/>
  <c r="N52" i="11"/>
  <c r="J51" i="11"/>
  <c r="L51" i="11"/>
  <c r="K51" i="11"/>
  <c r="M45" i="2"/>
  <c r="P45" i="2" s="1"/>
  <c r="R51" i="2"/>
  <c r="T51" i="2" s="1"/>
  <c r="Q51" i="2"/>
  <c r="L42" i="11"/>
  <c r="J42" i="11"/>
  <c r="K42" i="11"/>
  <c r="M44" i="11"/>
  <c r="N43" i="11"/>
  <c r="K52" i="11" l="1"/>
  <c r="J52" i="11"/>
  <c r="L52" i="11"/>
  <c r="L53" i="11"/>
  <c r="K53" i="11"/>
  <c r="J53" i="11"/>
  <c r="Q45" i="2"/>
  <c r="AE45" i="2" s="1"/>
  <c r="AE85" i="2" s="1"/>
  <c r="L47" i="2" s="1"/>
  <c r="R45" i="2"/>
  <c r="B105" i="2"/>
  <c r="K43" i="11"/>
  <c r="L43" i="11"/>
  <c r="J43" i="11"/>
  <c r="M45" i="11"/>
  <c r="N44" i="11"/>
  <c r="B102" i="2" l="1"/>
  <c r="T45" i="2"/>
  <c r="M47" i="2"/>
  <c r="P47" i="2" s="1"/>
  <c r="J44" i="11"/>
  <c r="K44" i="11"/>
  <c r="L44" i="11"/>
  <c r="N45" i="11"/>
  <c r="M54" i="11"/>
  <c r="Q47" i="2" l="1"/>
  <c r="R47" i="2"/>
  <c r="P84" i="2"/>
  <c r="B12" i="12" s="1"/>
  <c r="U89" i="2"/>
  <c r="T90" i="2"/>
  <c r="B22" i="12"/>
  <c r="B221" i="12"/>
  <c r="B222" i="12" s="1"/>
  <c r="N54" i="11"/>
  <c r="M55" i="11"/>
  <c r="L45" i="11"/>
  <c r="J45" i="11"/>
  <c r="K45" i="11"/>
  <c r="T84" i="2" l="1"/>
  <c r="B19" i="12" s="1"/>
  <c r="B220" i="12" s="1"/>
  <c r="B216" i="12"/>
  <c r="B217" i="12" s="1"/>
  <c r="B13" i="12"/>
  <c r="T47" i="2"/>
  <c r="P86" i="2"/>
  <c r="P89" i="2"/>
  <c r="P91" i="2" s="1"/>
  <c r="B103" i="2"/>
  <c r="P90" i="2" s="1"/>
  <c r="P87" i="2"/>
  <c r="Q87" i="2" s="1"/>
  <c r="U90" i="2"/>
  <c r="B23" i="12"/>
  <c r="M56" i="11"/>
  <c r="N55" i="11"/>
  <c r="J54" i="11"/>
  <c r="K54" i="11"/>
  <c r="L54" i="11"/>
  <c r="B16" i="12" l="1"/>
  <c r="B14" i="12"/>
  <c r="B15" i="12"/>
  <c r="K55" i="11"/>
  <c r="J55" i="11"/>
  <c r="L55" i="11"/>
  <c r="M57" i="11"/>
  <c r="N56" i="11"/>
  <c r="T86" i="2" l="1"/>
  <c r="P93" i="2" s="1"/>
  <c r="B18" i="12"/>
  <c r="B218" i="12"/>
  <c r="B219" i="12" s="1"/>
  <c r="B225" i="12" s="1"/>
  <c r="B224" i="12"/>
  <c r="L56" i="11"/>
  <c r="J56" i="11"/>
  <c r="K56" i="11"/>
  <c r="M58" i="11"/>
  <c r="N57" i="11"/>
  <c r="U87" i="2" l="1"/>
  <c r="T87" i="2"/>
  <c r="B21" i="12" s="1"/>
  <c r="B20" i="12"/>
  <c r="L57" i="11"/>
  <c r="J57" i="11"/>
  <c r="K57" i="11"/>
  <c r="M59" i="11"/>
  <c r="M68" i="11" s="1"/>
  <c r="N58" i="11"/>
  <c r="N68" i="11" l="1"/>
  <c r="M69" i="11"/>
  <c r="M60" i="11"/>
  <c r="N59" i="11"/>
  <c r="L58" i="11"/>
  <c r="J58" i="11"/>
  <c r="K58" i="11"/>
  <c r="N69" i="11" l="1"/>
  <c r="M70" i="11"/>
  <c r="L68" i="11"/>
  <c r="K68" i="11"/>
  <c r="J68" i="11"/>
  <c r="K59" i="11"/>
  <c r="L59" i="11"/>
  <c r="J59" i="11"/>
  <c r="M61" i="11"/>
  <c r="N60" i="11"/>
  <c r="M71" i="11" l="1"/>
  <c r="N70" i="11"/>
  <c r="K69" i="11"/>
  <c r="L69" i="11"/>
  <c r="J69" i="11"/>
  <c r="J60" i="11"/>
  <c r="K60" i="11"/>
  <c r="L60" i="11"/>
  <c r="N61" i="11"/>
  <c r="M62" i="11"/>
  <c r="K70" i="11" l="1"/>
  <c r="J70" i="11"/>
  <c r="L70" i="11"/>
  <c r="M72" i="11"/>
  <c r="N71" i="11"/>
  <c r="M63" i="11"/>
  <c r="N62" i="11"/>
  <c r="L61" i="11"/>
  <c r="J61" i="11"/>
  <c r="K61" i="11"/>
  <c r="K71" i="11" l="1"/>
  <c r="L71" i="11"/>
  <c r="J71" i="11"/>
  <c r="N72" i="11"/>
  <c r="M73" i="11"/>
  <c r="J62" i="11"/>
  <c r="K62" i="11"/>
  <c r="L62" i="11"/>
  <c r="M64" i="11"/>
  <c r="N63" i="11"/>
  <c r="N73" i="11" l="1"/>
  <c r="M74" i="11"/>
  <c r="K72" i="11"/>
  <c r="L72" i="11"/>
  <c r="J72" i="11"/>
  <c r="K63" i="11"/>
  <c r="L63" i="11"/>
  <c r="J63" i="11"/>
  <c r="M65" i="11"/>
  <c r="N64" i="11"/>
  <c r="N74" i="11" l="1"/>
  <c r="M75" i="11"/>
  <c r="N75" i="11" s="1"/>
  <c r="J73" i="11"/>
  <c r="L73" i="11"/>
  <c r="K73" i="11"/>
  <c r="M66" i="11"/>
  <c r="N65" i="11"/>
  <c r="L64" i="11"/>
  <c r="J64" i="11"/>
  <c r="K64" i="11"/>
  <c r="L75" i="11" l="1"/>
  <c r="K75" i="11"/>
  <c r="J75" i="11"/>
  <c r="K74" i="11"/>
  <c r="J74" i="11"/>
  <c r="L74" i="11"/>
  <c r="L65" i="11"/>
  <c r="J65" i="11"/>
  <c r="K65" i="11"/>
  <c r="M67" i="11"/>
  <c r="N66" i="11"/>
  <c r="J66" i="11" l="1"/>
  <c r="K66" i="11"/>
  <c r="L66" i="11"/>
  <c r="M76" i="11"/>
  <c r="N67" i="11"/>
  <c r="M77" i="11" l="1"/>
  <c r="N76" i="11"/>
  <c r="K67" i="11"/>
  <c r="L67" i="11"/>
  <c r="J67" i="11"/>
  <c r="L76" i="11" l="1"/>
  <c r="J76" i="11"/>
  <c r="K76" i="11"/>
  <c r="M78" i="11"/>
  <c r="N77" i="11"/>
  <c r="L77" i="11" l="1"/>
  <c r="J77" i="11"/>
  <c r="K77" i="11"/>
  <c r="M79" i="11"/>
  <c r="N78" i="11"/>
  <c r="L78" i="11" l="1"/>
  <c r="J78" i="11"/>
  <c r="K78" i="11"/>
  <c r="M80" i="11"/>
  <c r="N79" i="11"/>
  <c r="K79" i="11" l="1"/>
  <c r="L79" i="11"/>
  <c r="J79" i="11"/>
  <c r="M81" i="11"/>
  <c r="N80" i="11"/>
  <c r="M82" i="11" l="1"/>
  <c r="N81" i="11"/>
  <c r="K80" i="11"/>
  <c r="L80" i="11"/>
  <c r="J80" i="11"/>
  <c r="L81" i="11" l="1"/>
  <c r="J81" i="11"/>
  <c r="K81" i="11"/>
  <c r="M83" i="11"/>
  <c r="N82" i="11"/>
  <c r="J82" i="11" l="1"/>
  <c r="K82" i="11"/>
  <c r="L82" i="11"/>
  <c r="N83" i="11"/>
  <c r="M84" i="11"/>
  <c r="M85" i="11" l="1"/>
  <c r="N84" i="11"/>
  <c r="K83" i="11"/>
  <c r="J83" i="11"/>
  <c r="L83" i="11"/>
  <c r="L84" i="11" l="1"/>
  <c r="K84" i="11"/>
  <c r="J84" i="11"/>
  <c r="M86" i="11"/>
  <c r="N85" i="11"/>
  <c r="L85" i="11" l="1"/>
  <c r="J85" i="11"/>
  <c r="K85" i="11"/>
  <c r="M87" i="11"/>
  <c r="N86" i="11"/>
  <c r="M88" i="11" l="1"/>
  <c r="N87" i="11"/>
  <c r="J86" i="11"/>
  <c r="L86" i="11"/>
  <c r="K86" i="11"/>
  <c r="L87" i="11" l="1"/>
  <c r="K87" i="11"/>
  <c r="J87" i="11"/>
  <c r="M89" i="11"/>
  <c r="N88" i="11"/>
  <c r="M90" i="11" l="1"/>
  <c r="N89" i="11"/>
  <c r="J88" i="11"/>
  <c r="K88" i="11"/>
  <c r="L88" i="11"/>
  <c r="L89" i="11" l="1"/>
  <c r="J89" i="11"/>
  <c r="K89" i="11"/>
  <c r="M91" i="11"/>
  <c r="N90" i="11"/>
  <c r="L90" i="11" l="1"/>
  <c r="J90" i="11"/>
  <c r="K90" i="11"/>
  <c r="M92" i="11"/>
  <c r="N91" i="11"/>
  <c r="K91" i="11" l="1"/>
  <c r="J91" i="11"/>
  <c r="L91" i="11"/>
  <c r="M93" i="11"/>
  <c r="N92" i="11"/>
  <c r="J92" i="11" l="1"/>
  <c r="L92" i="11"/>
  <c r="K92" i="11"/>
  <c r="M94" i="11"/>
  <c r="N93" i="11"/>
  <c r="L93" i="11" l="1"/>
  <c r="J93" i="11"/>
  <c r="K93" i="11"/>
  <c r="N94" i="11"/>
  <c r="M95" i="11"/>
  <c r="M96" i="11" l="1"/>
  <c r="N95" i="11"/>
  <c r="J94" i="11"/>
  <c r="L94" i="11"/>
  <c r="K94" i="11"/>
  <c r="K95" i="11" l="1"/>
  <c r="L95" i="11"/>
  <c r="J95" i="11"/>
  <c r="M97" i="11"/>
  <c r="N96" i="11"/>
  <c r="L96" i="11" l="1"/>
  <c r="J96" i="11"/>
  <c r="K96" i="11"/>
  <c r="M98" i="11"/>
  <c r="N97" i="11"/>
  <c r="L97" i="11" l="1"/>
  <c r="J97" i="11"/>
  <c r="K97" i="11"/>
  <c r="M99" i="11"/>
  <c r="N98" i="11"/>
  <c r="L98" i="11" l="1"/>
  <c r="J98" i="11"/>
  <c r="K98" i="11"/>
  <c r="M100" i="11"/>
  <c r="N99" i="11"/>
  <c r="L99" i="11" l="1"/>
  <c r="J99" i="11"/>
  <c r="K99" i="11"/>
  <c r="M101" i="11"/>
  <c r="N100" i="11"/>
  <c r="L100" i="11" l="1"/>
  <c r="J100" i="11"/>
  <c r="K100" i="11"/>
  <c r="M102" i="11"/>
  <c r="N101" i="11"/>
  <c r="N102" i="11" l="1"/>
  <c r="M103" i="11"/>
  <c r="L101" i="11"/>
  <c r="K101" i="11"/>
  <c r="J101" i="11"/>
  <c r="M104" i="11" l="1"/>
  <c r="N103" i="11"/>
  <c r="L102" i="11"/>
  <c r="J102" i="11"/>
  <c r="K102" i="11"/>
  <c r="M105" i="11" l="1"/>
  <c r="N104" i="11"/>
  <c r="J103" i="11"/>
  <c r="K103" i="11"/>
  <c r="L103" i="11"/>
  <c r="J104" i="11" l="1"/>
  <c r="K104" i="11"/>
  <c r="L104" i="11"/>
  <c r="M106" i="11"/>
  <c r="N105" i="11"/>
  <c r="L105" i="11" l="1"/>
  <c r="K105" i="11"/>
  <c r="J105" i="11"/>
  <c r="M107" i="11"/>
  <c r="N106" i="11"/>
  <c r="L106" i="11" l="1"/>
  <c r="J106" i="11"/>
  <c r="K106" i="11"/>
  <c r="N107" i="11"/>
  <c r="M108" i="11"/>
  <c r="M109" i="11" l="1"/>
  <c r="N108" i="11"/>
  <c r="L107" i="11"/>
  <c r="J107" i="11"/>
  <c r="K107" i="11"/>
  <c r="L108" i="11" l="1"/>
  <c r="J108" i="11"/>
  <c r="K108" i="11"/>
  <c r="M110" i="11"/>
  <c r="N109" i="11"/>
  <c r="L109" i="11" l="1"/>
  <c r="K109" i="11"/>
  <c r="J109" i="11"/>
  <c r="M111" i="11"/>
  <c r="N110" i="11"/>
  <c r="L110" i="11" l="1"/>
  <c r="K110" i="11"/>
  <c r="J110" i="11"/>
  <c r="M112" i="11"/>
  <c r="N111" i="11"/>
  <c r="J111" i="11" l="1"/>
  <c r="K111" i="11"/>
  <c r="L111" i="11"/>
  <c r="M113" i="11"/>
  <c r="N112" i="11"/>
  <c r="J112" i="11" l="1"/>
  <c r="K112" i="11"/>
  <c r="L112" i="11"/>
  <c r="M114" i="11"/>
  <c r="N113" i="11"/>
  <c r="L113" i="11" l="1"/>
  <c r="K113" i="11"/>
  <c r="J113" i="11"/>
  <c r="M115" i="11"/>
  <c r="N114" i="11"/>
  <c r="K114" i="11" l="1"/>
  <c r="L114" i="11"/>
  <c r="J114" i="11"/>
  <c r="N115" i="11"/>
  <c r="M116" i="11"/>
  <c r="L115" i="11" l="1"/>
  <c r="J115" i="11"/>
  <c r="K115" i="11"/>
  <c r="M117" i="11"/>
  <c r="N116" i="11"/>
  <c r="L116" i="11" l="1"/>
  <c r="J116" i="11"/>
  <c r="K116" i="11"/>
  <c r="M118" i="11"/>
  <c r="N117" i="11"/>
  <c r="L117" i="11" l="1"/>
  <c r="K117" i="11"/>
  <c r="J117" i="11"/>
  <c r="N118" i="11"/>
  <c r="M119" i="11"/>
  <c r="M120" i="11" l="1"/>
  <c r="N119" i="11"/>
  <c r="L118" i="11"/>
  <c r="J118" i="11"/>
  <c r="K118" i="11"/>
  <c r="L119" i="11" l="1"/>
  <c r="J119" i="11"/>
  <c r="K119" i="11"/>
  <c r="M121" i="11"/>
  <c r="N120" i="11"/>
  <c r="J120" i="11" l="1"/>
  <c r="K120" i="11"/>
  <c r="L120" i="11"/>
  <c r="M122" i="11"/>
  <c r="N121" i="11"/>
  <c r="L121" i="11" l="1"/>
  <c r="K121" i="11"/>
  <c r="J121" i="11"/>
  <c r="M123" i="11"/>
  <c r="N122" i="11"/>
  <c r="L122" i="11" l="1"/>
  <c r="J122" i="11"/>
  <c r="K122" i="11"/>
  <c r="M124" i="11"/>
  <c r="N123" i="11"/>
  <c r="J123" i="11" l="1"/>
  <c r="L123" i="11"/>
  <c r="K123" i="11"/>
  <c r="M125" i="11"/>
  <c r="N124" i="11"/>
  <c r="L124" i="11" l="1"/>
  <c r="J124" i="11"/>
  <c r="K124" i="11"/>
  <c r="M126" i="11"/>
  <c r="N125" i="11"/>
  <c r="L125" i="11" l="1"/>
  <c r="K125" i="11"/>
  <c r="J125" i="11"/>
  <c r="N126" i="11"/>
  <c r="M127" i="11"/>
  <c r="M128" i="11" l="1"/>
  <c r="N127" i="11"/>
  <c r="L126" i="11"/>
  <c r="J126" i="11"/>
  <c r="K126" i="11"/>
  <c r="J127" i="11" l="1"/>
  <c r="K127" i="11"/>
  <c r="L127" i="11"/>
  <c r="M129" i="11"/>
  <c r="N128" i="11"/>
  <c r="L128" i="11" l="1"/>
  <c r="J128" i="11"/>
  <c r="K128" i="11"/>
  <c r="M130" i="11"/>
  <c r="N129" i="11"/>
  <c r="L129" i="11" l="1"/>
  <c r="K129" i="11"/>
  <c r="J129" i="11"/>
  <c r="M131" i="11"/>
  <c r="N130" i="11"/>
  <c r="L130" i="11" l="1"/>
  <c r="J130" i="11"/>
  <c r="K130" i="11"/>
  <c r="M132" i="11"/>
  <c r="N131" i="11"/>
  <c r="L131" i="11" l="1"/>
  <c r="J131" i="11"/>
  <c r="K131" i="11"/>
  <c r="M133" i="11"/>
  <c r="N132" i="11"/>
  <c r="N133" i="11" l="1"/>
  <c r="M134" i="11"/>
  <c r="J132" i="11"/>
  <c r="L132" i="11"/>
  <c r="K132" i="11"/>
  <c r="M135" i="11" l="1"/>
  <c r="N134" i="11"/>
  <c r="L133" i="11"/>
  <c r="K133" i="11"/>
  <c r="J133" i="11"/>
  <c r="L134" i="11" l="1"/>
  <c r="J134" i="11"/>
  <c r="K134" i="11"/>
  <c r="M136" i="11"/>
  <c r="N135" i="11"/>
  <c r="M137" i="11" l="1"/>
  <c r="N136" i="11"/>
  <c r="J135" i="11"/>
  <c r="K135" i="11"/>
  <c r="L135" i="11"/>
  <c r="J136" i="11" l="1"/>
  <c r="K136" i="11"/>
  <c r="L136" i="11"/>
  <c r="M138" i="11"/>
  <c r="N137" i="11"/>
  <c r="L137" i="11" l="1"/>
  <c r="K137" i="11"/>
  <c r="J137" i="11"/>
  <c r="M139" i="11"/>
  <c r="N138" i="11"/>
  <c r="L138" i="11" l="1"/>
  <c r="J138" i="11"/>
  <c r="K138" i="11"/>
  <c r="N139" i="11"/>
  <c r="M140" i="11"/>
  <c r="M141" i="11" l="1"/>
  <c r="N140" i="11"/>
  <c r="L139" i="11"/>
  <c r="J139" i="11"/>
  <c r="K139" i="11"/>
  <c r="L140" i="11" l="1"/>
  <c r="J140" i="11"/>
  <c r="K140" i="11"/>
  <c r="M142" i="11"/>
  <c r="N141" i="11"/>
  <c r="L141" i="11" l="1"/>
  <c r="K141" i="11"/>
  <c r="J141" i="11"/>
  <c r="M143" i="11"/>
  <c r="N142" i="11"/>
  <c r="M144" i="11" l="1"/>
  <c r="N143" i="11"/>
  <c r="L142" i="11"/>
  <c r="K142" i="11"/>
  <c r="J142" i="11"/>
  <c r="M145" i="11" l="1"/>
  <c r="N144" i="11"/>
  <c r="J143" i="11"/>
  <c r="K143" i="11"/>
  <c r="L143" i="11"/>
  <c r="L144" i="11" l="1"/>
  <c r="J144" i="11"/>
  <c r="K144" i="11"/>
  <c r="M146" i="11"/>
  <c r="N145" i="11"/>
  <c r="L145" i="11" l="1"/>
  <c r="K145" i="11"/>
  <c r="J145" i="11"/>
  <c r="M147" i="11"/>
  <c r="N146" i="11"/>
  <c r="L146" i="11" l="1"/>
  <c r="K146" i="11"/>
  <c r="J146" i="11"/>
  <c r="N147" i="11"/>
  <c r="M148" i="11"/>
  <c r="J147" i="11" l="1"/>
  <c r="K147" i="11"/>
  <c r="L147" i="11"/>
  <c r="M149" i="11"/>
  <c r="N148" i="11"/>
  <c r="M150" i="11" l="1"/>
  <c r="N149" i="11"/>
  <c r="L148" i="11"/>
  <c r="J148" i="11"/>
  <c r="K148" i="11"/>
  <c r="L149" i="11" l="1"/>
  <c r="K149" i="11"/>
  <c r="J149" i="11"/>
  <c r="M151" i="11"/>
  <c r="N150" i="11"/>
  <c r="L150" i="11" l="1"/>
  <c r="J150" i="11"/>
  <c r="K150" i="11"/>
  <c r="M152" i="11"/>
  <c r="N151" i="11"/>
  <c r="L151" i="11" l="1"/>
  <c r="J151" i="11"/>
  <c r="K151" i="11"/>
  <c r="M153" i="11"/>
  <c r="N152" i="11"/>
  <c r="L152" i="11" l="1"/>
  <c r="K152" i="11"/>
  <c r="J152" i="11"/>
  <c r="M154" i="11"/>
  <c r="N153" i="11"/>
  <c r="L153" i="11" l="1"/>
  <c r="K153" i="11"/>
  <c r="J153" i="11"/>
  <c r="M155" i="11"/>
  <c r="N154" i="11"/>
  <c r="M156" i="11" l="1"/>
  <c r="N155" i="11"/>
  <c r="L154" i="11"/>
  <c r="J154" i="11"/>
  <c r="K154" i="11"/>
  <c r="J155" i="11" l="1"/>
  <c r="K155" i="11"/>
  <c r="L155" i="11"/>
  <c r="M157" i="11"/>
  <c r="N156" i="11"/>
  <c r="K156" i="11" l="1"/>
  <c r="L156" i="11"/>
  <c r="J156" i="11"/>
  <c r="M158" i="11"/>
  <c r="N157" i="11"/>
  <c r="L157" i="11" l="1"/>
  <c r="K157" i="11"/>
  <c r="J157" i="11"/>
  <c r="N158" i="11"/>
  <c r="M159" i="11"/>
  <c r="M160" i="11" l="1"/>
  <c r="N159" i="11"/>
  <c r="J158" i="11"/>
  <c r="K158" i="11"/>
  <c r="L158" i="11"/>
  <c r="L159" i="11" l="1"/>
  <c r="J159" i="11"/>
  <c r="K159" i="11"/>
  <c r="M161" i="11"/>
  <c r="N160" i="11"/>
  <c r="L160" i="11" l="1"/>
  <c r="K160" i="11"/>
  <c r="J160" i="11"/>
  <c r="M162" i="11"/>
  <c r="N161" i="11"/>
  <c r="L161" i="11" l="1"/>
  <c r="J161" i="11"/>
  <c r="K161" i="11"/>
  <c r="M163" i="11"/>
  <c r="N162" i="11"/>
  <c r="L162" i="11" l="1"/>
  <c r="K162" i="11"/>
  <c r="J162" i="11"/>
  <c r="M164" i="11"/>
  <c r="N163" i="11"/>
  <c r="L163" i="11" l="1"/>
  <c r="J163" i="11"/>
  <c r="K163" i="11"/>
  <c r="M165" i="11"/>
  <c r="N164" i="11"/>
  <c r="K164" i="11" l="1"/>
  <c r="L164" i="11"/>
  <c r="J164" i="11"/>
  <c r="M166" i="11"/>
  <c r="N165" i="11"/>
  <c r="L165" i="11" l="1"/>
  <c r="J165" i="11"/>
  <c r="K165" i="11"/>
  <c r="M167" i="11"/>
  <c r="N166" i="11"/>
  <c r="L166" i="11" l="1"/>
  <c r="K166" i="11"/>
  <c r="J166" i="11"/>
  <c r="M168" i="11"/>
  <c r="N167" i="11"/>
  <c r="N168" i="11" l="1"/>
  <c r="M169" i="11"/>
  <c r="J167" i="11"/>
  <c r="L167" i="11"/>
  <c r="K167" i="11"/>
  <c r="L168" i="11" l="1"/>
  <c r="K168" i="11"/>
  <c r="J168" i="11"/>
  <c r="M170" i="11"/>
  <c r="N169" i="11"/>
  <c r="L169" i="11" l="1"/>
  <c r="K169" i="11"/>
  <c r="J169" i="11"/>
  <c r="M171" i="11"/>
  <c r="N170" i="11"/>
  <c r="K170" i="11" l="1"/>
  <c r="J170" i="11"/>
  <c r="L170" i="11"/>
  <c r="M172" i="11"/>
  <c r="N171" i="11"/>
  <c r="L171" i="11" l="1"/>
  <c r="J171" i="11"/>
  <c r="K171" i="11"/>
  <c r="M173" i="11"/>
  <c r="N172" i="11"/>
  <c r="M174" i="11" l="1"/>
  <c r="N173" i="11"/>
  <c r="L172" i="11"/>
  <c r="K172" i="11"/>
  <c r="J172" i="11"/>
  <c r="L173" i="11" l="1"/>
  <c r="K173" i="11"/>
  <c r="J173" i="11"/>
  <c r="M175" i="11"/>
  <c r="N174" i="11"/>
  <c r="M176" i="11" l="1"/>
  <c r="N175" i="11"/>
  <c r="L174" i="11"/>
  <c r="K174" i="11"/>
  <c r="J174" i="11"/>
  <c r="M177" i="11" l="1"/>
  <c r="N176" i="11"/>
  <c r="J175" i="11"/>
  <c r="K175" i="11"/>
  <c r="L175" i="11"/>
  <c r="L176" i="11" l="1"/>
  <c r="K176" i="11"/>
  <c r="J176" i="11"/>
  <c r="M178" i="11"/>
  <c r="N177" i="11"/>
  <c r="L177" i="11" l="1"/>
  <c r="J177" i="11"/>
  <c r="K177" i="11"/>
  <c r="M179" i="11"/>
  <c r="N178" i="11"/>
  <c r="L178" i="11" l="1"/>
  <c r="K178" i="11"/>
  <c r="J178" i="11"/>
  <c r="M180" i="11"/>
  <c r="N179" i="11"/>
  <c r="J179" i="11" l="1"/>
  <c r="K179" i="11"/>
  <c r="L179" i="11"/>
  <c r="M181" i="11"/>
  <c r="N180" i="11"/>
  <c r="M182" i="11" l="1"/>
  <c r="N181" i="11"/>
  <c r="L180" i="11"/>
  <c r="K180" i="11"/>
  <c r="J180" i="11"/>
  <c r="L181" i="11" l="1"/>
  <c r="J181" i="11"/>
  <c r="K181" i="11"/>
  <c r="M183" i="11"/>
  <c r="N182" i="11"/>
  <c r="L182" i="11" l="1"/>
  <c r="J182" i="11"/>
  <c r="K182" i="11"/>
  <c r="M184" i="11"/>
  <c r="N183" i="11"/>
  <c r="M185" i="11" l="1"/>
  <c r="N184" i="11"/>
  <c r="L183" i="11"/>
  <c r="J183" i="11"/>
  <c r="K183" i="11"/>
  <c r="K184" i="11" l="1"/>
  <c r="L184" i="11"/>
  <c r="J184" i="11"/>
  <c r="M186" i="11"/>
  <c r="N185" i="11"/>
  <c r="L185" i="11" l="1"/>
  <c r="J185" i="11"/>
  <c r="K185" i="11"/>
  <c r="M187" i="11"/>
  <c r="N186" i="11"/>
  <c r="L186" i="11" l="1"/>
  <c r="J186" i="11"/>
  <c r="K186" i="11"/>
  <c r="M188" i="11"/>
  <c r="N187" i="11"/>
  <c r="J187" i="11" l="1"/>
  <c r="K187" i="11"/>
  <c r="L187" i="11"/>
  <c r="M189" i="11"/>
  <c r="N188" i="11"/>
  <c r="L188" i="11" l="1"/>
  <c r="K188" i="11"/>
  <c r="J188" i="11"/>
  <c r="M190" i="11"/>
  <c r="N189" i="11"/>
  <c r="L189" i="11" l="1"/>
  <c r="J189" i="11"/>
  <c r="K189" i="11"/>
  <c r="M191" i="11"/>
  <c r="N190" i="11"/>
  <c r="L190" i="11" l="1"/>
  <c r="J190" i="11"/>
  <c r="K190" i="11"/>
  <c r="M192" i="11"/>
  <c r="N191" i="11"/>
  <c r="J191" i="11" l="1"/>
  <c r="K191" i="11"/>
  <c r="L191" i="11"/>
  <c r="M193" i="11"/>
  <c r="N192" i="11"/>
  <c r="L192" i="11" l="1"/>
  <c r="K192" i="11"/>
  <c r="J192" i="11"/>
  <c r="M194" i="11"/>
  <c r="N193" i="11"/>
  <c r="L193" i="11" l="1"/>
  <c r="J193" i="11"/>
  <c r="K193" i="11"/>
  <c r="M195" i="11"/>
  <c r="N194" i="11"/>
  <c r="L194" i="11" l="1"/>
  <c r="K194" i="11"/>
  <c r="J194" i="11"/>
  <c r="M196" i="11"/>
  <c r="N195" i="11"/>
  <c r="L195" i="11" l="1"/>
  <c r="J195" i="11"/>
  <c r="K195" i="11"/>
  <c r="M197" i="11"/>
  <c r="N196" i="11"/>
  <c r="L196" i="11" l="1"/>
  <c r="K196" i="11"/>
  <c r="J196" i="11"/>
  <c r="M198" i="11"/>
  <c r="N197" i="11"/>
  <c r="L197" i="11" l="1"/>
  <c r="J197" i="11"/>
  <c r="K197" i="11"/>
  <c r="M199" i="11"/>
  <c r="N198" i="11"/>
  <c r="L198" i="11" l="1"/>
  <c r="K198" i="11"/>
  <c r="J198" i="11"/>
  <c r="M200" i="11"/>
  <c r="N199" i="11"/>
  <c r="M201" i="11" l="1"/>
  <c r="N200" i="11"/>
  <c r="J199" i="11"/>
  <c r="K199" i="11"/>
  <c r="L199" i="11"/>
  <c r="K200" i="11" l="1"/>
  <c r="L200" i="11"/>
  <c r="J200" i="11"/>
  <c r="M202" i="11"/>
  <c r="N201" i="11"/>
  <c r="L201" i="11" l="1"/>
  <c r="K201" i="11"/>
  <c r="J201" i="11"/>
  <c r="M203" i="11"/>
  <c r="N202" i="11"/>
  <c r="L202" i="11" l="1"/>
  <c r="K202" i="11"/>
  <c r="J202" i="11"/>
  <c r="M204" i="11"/>
  <c r="N203" i="11"/>
  <c r="L203" i="11" l="1"/>
  <c r="J203" i="11"/>
  <c r="K203" i="11"/>
  <c r="M205" i="11"/>
  <c r="N204" i="11"/>
  <c r="L204" i="11" l="1"/>
  <c r="K204" i="11"/>
  <c r="J204" i="11"/>
  <c r="M206" i="11"/>
  <c r="N205" i="11"/>
  <c r="L205" i="11" l="1"/>
  <c r="K205" i="11"/>
  <c r="J205" i="11"/>
  <c r="M207" i="11"/>
  <c r="N206" i="11"/>
  <c r="L206" i="11" l="1"/>
  <c r="J206" i="11"/>
  <c r="K206" i="11"/>
  <c r="M208" i="11"/>
  <c r="N207" i="11"/>
  <c r="J207" i="11" l="1"/>
  <c r="K207" i="11"/>
  <c r="L207" i="11"/>
  <c r="M209" i="11"/>
  <c r="N208" i="11"/>
  <c r="K208" i="11" l="1"/>
  <c r="J208" i="11"/>
  <c r="L208" i="11"/>
  <c r="M210" i="11"/>
  <c r="N209" i="11"/>
  <c r="L209" i="11" l="1"/>
  <c r="J209" i="11"/>
  <c r="K209" i="11"/>
  <c r="M211" i="11"/>
  <c r="N210" i="11"/>
  <c r="L210" i="11" l="1"/>
  <c r="J210" i="11"/>
  <c r="K210" i="11"/>
  <c r="M212" i="11"/>
  <c r="N211" i="11"/>
  <c r="J211" i="11" l="1"/>
  <c r="L211" i="11"/>
  <c r="K211" i="11"/>
  <c r="M213" i="11"/>
  <c r="N212" i="11"/>
  <c r="L212" i="11" l="1"/>
  <c r="K212" i="11"/>
  <c r="J212" i="11"/>
  <c r="M214" i="11"/>
  <c r="N213" i="11"/>
  <c r="L213" i="11" l="1"/>
  <c r="K213" i="11"/>
  <c r="J213" i="11"/>
  <c r="M215" i="11"/>
  <c r="N214" i="11"/>
  <c r="J214" i="11" l="1"/>
  <c r="K214" i="11"/>
  <c r="L214" i="11"/>
  <c r="M216" i="11"/>
  <c r="N215" i="11"/>
  <c r="L215" i="11" l="1"/>
  <c r="J215" i="11"/>
  <c r="K215" i="11"/>
  <c r="M217" i="11"/>
  <c r="N216" i="11"/>
  <c r="K216" i="11" l="1"/>
  <c r="L216" i="11"/>
  <c r="J216" i="11"/>
  <c r="M218" i="11"/>
  <c r="N217" i="11"/>
  <c r="L217" i="11" l="1"/>
  <c r="K217" i="11"/>
  <c r="J217" i="11"/>
  <c r="M219" i="11"/>
  <c r="N218" i="11"/>
  <c r="L218" i="11" l="1"/>
  <c r="J218" i="11"/>
  <c r="K218" i="11"/>
  <c r="M220" i="11"/>
  <c r="N219" i="11"/>
  <c r="M221" i="11" l="1"/>
  <c r="N220" i="11"/>
  <c r="J219" i="11"/>
  <c r="L219" i="11"/>
  <c r="K219" i="11"/>
  <c r="L220" i="11" l="1"/>
  <c r="K220" i="11"/>
  <c r="J220" i="11"/>
  <c r="M222" i="11"/>
  <c r="N221" i="11"/>
  <c r="L221" i="11" l="1"/>
  <c r="J221" i="11"/>
  <c r="K221" i="11"/>
  <c r="M223" i="11"/>
  <c r="N222" i="11"/>
  <c r="M224" i="11" l="1"/>
  <c r="N223" i="11"/>
  <c r="L222" i="11"/>
  <c r="K222" i="11"/>
  <c r="J222" i="11"/>
  <c r="L223" i="11" l="1"/>
  <c r="J223" i="11"/>
  <c r="K223" i="11"/>
  <c r="M225" i="11"/>
  <c r="N224" i="11"/>
  <c r="L224" i="11" l="1"/>
  <c r="J224" i="11"/>
  <c r="K224" i="11"/>
  <c r="M226" i="11"/>
  <c r="N225" i="11"/>
  <c r="L225" i="11" l="1"/>
  <c r="J225" i="11"/>
  <c r="K225" i="11"/>
  <c r="M227" i="11"/>
  <c r="N226" i="11"/>
  <c r="M228" i="11" l="1"/>
  <c r="N227" i="11"/>
  <c r="L226" i="11"/>
  <c r="K226" i="11"/>
  <c r="J226" i="11"/>
  <c r="L227" i="11" l="1"/>
  <c r="J227" i="11"/>
  <c r="K227" i="11"/>
  <c r="M229" i="11"/>
  <c r="N228" i="11"/>
  <c r="J228" i="11" l="1"/>
  <c r="K228" i="11"/>
  <c r="L228" i="11"/>
  <c r="M230" i="11"/>
  <c r="N229" i="11"/>
  <c r="L229" i="11" l="1"/>
  <c r="J229" i="11"/>
  <c r="K229" i="11"/>
  <c r="M231" i="11"/>
  <c r="N230" i="11"/>
  <c r="L230" i="11" l="1"/>
  <c r="K230" i="11"/>
  <c r="J230" i="11"/>
  <c r="M232" i="11"/>
  <c r="N231" i="11"/>
  <c r="M233" i="11" l="1"/>
  <c r="N232" i="11"/>
  <c r="J231" i="11"/>
  <c r="K231" i="11"/>
  <c r="L231" i="11"/>
  <c r="L232" i="11" l="1"/>
  <c r="J232" i="11"/>
  <c r="K232" i="11"/>
  <c r="M234" i="11"/>
  <c r="N233" i="11"/>
  <c r="M235" i="11" l="1"/>
  <c r="N234" i="11"/>
  <c r="L233" i="11"/>
  <c r="J233" i="11"/>
  <c r="K233" i="11"/>
  <c r="L234" i="11" l="1"/>
  <c r="K234" i="11"/>
  <c r="J234" i="11"/>
  <c r="M236" i="11"/>
  <c r="N235" i="11"/>
  <c r="L235" i="11" l="1"/>
  <c r="J235" i="11"/>
  <c r="K235" i="11"/>
  <c r="M237" i="11"/>
  <c r="N236" i="11"/>
  <c r="L236" i="11" l="1"/>
  <c r="J236" i="11"/>
  <c r="K236" i="11"/>
  <c r="M238" i="11"/>
  <c r="N237" i="11"/>
  <c r="L237" i="11" l="1"/>
  <c r="J237" i="11"/>
  <c r="K237" i="11"/>
  <c r="M239" i="11"/>
  <c r="N238" i="11"/>
  <c r="L238" i="11" l="1"/>
  <c r="K238" i="11"/>
  <c r="J238" i="11"/>
  <c r="M240" i="11"/>
  <c r="N239" i="11"/>
  <c r="L239" i="11" l="1"/>
  <c r="K239" i="11"/>
  <c r="J239" i="11"/>
  <c r="M241" i="11"/>
  <c r="N240" i="11"/>
  <c r="L240" i="11" l="1"/>
  <c r="J240" i="11"/>
  <c r="K240" i="11"/>
  <c r="M242" i="11"/>
  <c r="N241" i="11"/>
  <c r="M243" i="11" l="1"/>
  <c r="N242" i="11"/>
  <c r="L241" i="11"/>
  <c r="J241" i="11"/>
  <c r="K241" i="11"/>
  <c r="L242" i="11" l="1"/>
  <c r="K242" i="11"/>
  <c r="J242" i="11"/>
  <c r="M244" i="11"/>
  <c r="N243" i="11"/>
  <c r="L243" i="11" l="1"/>
  <c r="J243" i="11"/>
  <c r="K243" i="11"/>
  <c r="M245" i="11"/>
  <c r="N244" i="11"/>
  <c r="L244" i="11" l="1"/>
  <c r="J244" i="11"/>
  <c r="K244" i="11"/>
  <c r="M246" i="11"/>
  <c r="N245" i="11"/>
  <c r="L245" i="11" l="1"/>
  <c r="J245" i="11"/>
  <c r="K245" i="11"/>
  <c r="M247" i="11"/>
  <c r="N246" i="11"/>
  <c r="M248" i="11" l="1"/>
  <c r="N247" i="11"/>
  <c r="L246" i="11"/>
  <c r="K246" i="11"/>
  <c r="J246" i="11"/>
  <c r="L247" i="11" l="1"/>
  <c r="J247" i="11"/>
  <c r="K247" i="11"/>
  <c r="M249" i="11"/>
  <c r="N248" i="11"/>
  <c r="L248" i="11" l="1"/>
  <c r="J248" i="11"/>
  <c r="K248" i="11"/>
  <c r="M250" i="11"/>
  <c r="N249" i="11"/>
  <c r="L249" i="11" l="1"/>
  <c r="J249" i="11"/>
  <c r="K249" i="11"/>
  <c r="M251" i="11"/>
  <c r="N250" i="11"/>
  <c r="L250" i="11" l="1"/>
  <c r="K250" i="11"/>
  <c r="J250" i="11"/>
  <c r="M252" i="11"/>
  <c r="N251" i="11"/>
  <c r="L251" i="11" l="1"/>
  <c r="J251" i="11"/>
  <c r="K251" i="11"/>
  <c r="M253" i="11"/>
  <c r="N252" i="11"/>
  <c r="M254" i="11" l="1"/>
  <c r="N253" i="11"/>
  <c r="J252" i="11"/>
  <c r="K252" i="11"/>
  <c r="L252" i="11"/>
  <c r="L253" i="11" l="1"/>
  <c r="J253" i="11"/>
  <c r="K253" i="11"/>
  <c r="M255" i="11"/>
  <c r="N254" i="11"/>
  <c r="L254" i="11" l="1"/>
  <c r="K254" i="11"/>
  <c r="J254" i="11"/>
  <c r="M256" i="11"/>
  <c r="N255" i="11"/>
  <c r="L255" i="11" l="1"/>
  <c r="K255" i="11"/>
  <c r="J255" i="11"/>
  <c r="M257" i="11"/>
  <c r="N256" i="11"/>
  <c r="L256" i="11" l="1"/>
  <c r="J256" i="11"/>
  <c r="K256" i="11"/>
  <c r="M258" i="11"/>
  <c r="N257" i="11"/>
  <c r="M259" i="11" l="1"/>
  <c r="N258" i="11"/>
  <c r="L257" i="11"/>
  <c r="J257" i="11"/>
  <c r="K257" i="11"/>
  <c r="L258" i="11" l="1"/>
  <c r="K258" i="11"/>
  <c r="J258" i="11"/>
  <c r="M260" i="11"/>
  <c r="N259" i="11"/>
  <c r="L259" i="11" l="1"/>
  <c r="J259" i="11"/>
  <c r="K259" i="11"/>
  <c r="M261" i="11"/>
  <c r="N260" i="11"/>
  <c r="M262" i="11" l="1"/>
  <c r="N261" i="11"/>
  <c r="L260" i="11"/>
  <c r="J260" i="11"/>
  <c r="K260" i="11"/>
  <c r="L261" i="11" l="1"/>
  <c r="J261" i="11"/>
  <c r="K261" i="11"/>
  <c r="M263" i="11"/>
  <c r="N262" i="11"/>
  <c r="L262" i="11" l="1"/>
  <c r="K262" i="11"/>
  <c r="J262" i="11"/>
  <c r="M264" i="11"/>
  <c r="N263" i="11"/>
  <c r="L263" i="11" l="1"/>
  <c r="K263" i="11"/>
  <c r="J263" i="11"/>
  <c r="M265" i="11"/>
  <c r="N264" i="11"/>
  <c r="M266" i="11" l="1"/>
  <c r="N265" i="11"/>
  <c r="L264" i="11"/>
  <c r="J264" i="11"/>
  <c r="K264" i="11"/>
  <c r="L265" i="11" l="1"/>
  <c r="J265" i="11"/>
  <c r="K265" i="11"/>
  <c r="M267" i="11"/>
  <c r="N266" i="11"/>
  <c r="L266" i="11" l="1"/>
  <c r="K266" i="11"/>
  <c r="J266" i="11"/>
  <c r="M268" i="11"/>
  <c r="N267" i="11"/>
  <c r="L267" i="11" l="1"/>
  <c r="J267" i="11"/>
  <c r="K267" i="11"/>
  <c r="M269" i="11"/>
  <c r="N268" i="11"/>
  <c r="L268" i="11" l="1"/>
  <c r="J268" i="11"/>
  <c r="K268" i="11"/>
  <c r="M270" i="11"/>
  <c r="N269" i="11"/>
  <c r="L269" i="11" l="1"/>
  <c r="J269" i="11"/>
  <c r="K269" i="11"/>
  <c r="M271" i="11"/>
  <c r="N270" i="11"/>
  <c r="L270" i="11" l="1"/>
  <c r="K270" i="11"/>
  <c r="J270" i="11"/>
  <c r="M272" i="11"/>
  <c r="N271" i="11"/>
  <c r="L271" i="11" l="1"/>
  <c r="J271" i="11"/>
  <c r="K271" i="11"/>
  <c r="M273" i="11"/>
  <c r="N272" i="11"/>
  <c r="J272" i="11" l="1"/>
  <c r="K272" i="11"/>
  <c r="L272" i="11"/>
  <c r="M274" i="11"/>
  <c r="N273" i="11"/>
  <c r="M275" i="11" l="1"/>
  <c r="N274" i="11"/>
  <c r="L273" i="11"/>
  <c r="J273" i="11"/>
  <c r="K273" i="11"/>
  <c r="L274" i="11" l="1"/>
  <c r="K274" i="11"/>
  <c r="J274" i="11"/>
  <c r="M276" i="11"/>
  <c r="N275" i="11"/>
  <c r="L275" i="11" l="1"/>
  <c r="J275" i="11"/>
  <c r="K275" i="11"/>
  <c r="M277" i="11"/>
  <c r="N276" i="11"/>
  <c r="M278" i="11" l="1"/>
  <c r="N277" i="11"/>
  <c r="L276" i="11"/>
  <c r="J276" i="11"/>
  <c r="K276" i="11"/>
  <c r="L277" i="11" l="1"/>
  <c r="J277" i="11"/>
  <c r="K277" i="11"/>
  <c r="M279" i="11"/>
  <c r="N278" i="11"/>
  <c r="L278" i="11" l="1"/>
  <c r="K278" i="11"/>
  <c r="J278" i="11"/>
  <c r="M280" i="11"/>
  <c r="N279" i="11"/>
  <c r="L279" i="11" l="1"/>
  <c r="J279" i="11"/>
  <c r="K279" i="11"/>
  <c r="M281" i="11"/>
  <c r="N280" i="11"/>
  <c r="L280" i="11" l="1"/>
  <c r="J280" i="11"/>
  <c r="K280" i="11"/>
  <c r="M282" i="11"/>
  <c r="N281" i="11"/>
  <c r="L281" i="11" l="1"/>
  <c r="J281" i="11"/>
  <c r="K281" i="11"/>
  <c r="M283" i="11"/>
  <c r="N282" i="11"/>
  <c r="L282" i="11" l="1"/>
  <c r="K282" i="11"/>
  <c r="J282" i="11"/>
  <c r="M284" i="11"/>
  <c r="N283" i="11"/>
  <c r="L283" i="11" l="1"/>
  <c r="J283" i="11"/>
  <c r="K283" i="11"/>
  <c r="M285" i="11"/>
  <c r="N284" i="11"/>
  <c r="L284" i="11" l="1"/>
  <c r="J284" i="11"/>
  <c r="K284" i="11"/>
  <c r="M286" i="11"/>
  <c r="N285" i="11"/>
  <c r="L285" i="11" l="1"/>
  <c r="J285" i="11"/>
  <c r="K285" i="11"/>
  <c r="M287" i="11"/>
  <c r="N286" i="11"/>
  <c r="L286" i="11" l="1"/>
  <c r="K286" i="11"/>
  <c r="J286" i="11"/>
  <c r="M288" i="11"/>
  <c r="N287" i="11"/>
  <c r="L287" i="11" l="1"/>
  <c r="J287" i="11"/>
  <c r="K287" i="11"/>
  <c r="M289" i="11"/>
  <c r="N288" i="11"/>
  <c r="L288" i="11" l="1"/>
  <c r="J288" i="11"/>
  <c r="K288" i="11"/>
  <c r="M290" i="11"/>
  <c r="N289" i="11"/>
  <c r="M291" i="11" l="1"/>
  <c r="N290" i="11"/>
  <c r="L289" i="11"/>
  <c r="J289" i="11"/>
  <c r="K289" i="11"/>
  <c r="L290" i="11" l="1"/>
  <c r="K290" i="11"/>
  <c r="J290" i="11"/>
  <c r="M292" i="11"/>
  <c r="N291" i="11"/>
  <c r="L291" i="11" l="1"/>
  <c r="J291" i="11"/>
  <c r="K291" i="11"/>
  <c r="M293" i="11"/>
  <c r="N292" i="11"/>
  <c r="L292" i="11" l="1"/>
  <c r="J292" i="11"/>
  <c r="K292" i="11"/>
  <c r="M294" i="11"/>
  <c r="N293" i="11"/>
  <c r="L293" i="11" l="1"/>
  <c r="J293" i="11"/>
  <c r="K293" i="11"/>
  <c r="M295" i="11"/>
  <c r="N294" i="11"/>
  <c r="M296" i="11" l="1"/>
  <c r="N295" i="11"/>
  <c r="L294" i="11"/>
  <c r="K294" i="11"/>
  <c r="J294" i="11"/>
  <c r="L295" i="11" l="1"/>
  <c r="J295" i="11"/>
  <c r="K295" i="11"/>
  <c r="M297" i="11"/>
  <c r="N296" i="11"/>
  <c r="M298" i="11" l="1"/>
  <c r="N297" i="11"/>
  <c r="J296" i="11"/>
  <c r="K296" i="11"/>
  <c r="L296" i="11"/>
  <c r="L297" i="11" l="1"/>
  <c r="J297" i="11"/>
  <c r="K297" i="11"/>
  <c r="M299" i="11"/>
  <c r="N298" i="11"/>
  <c r="M300" i="11" l="1"/>
  <c r="N299" i="11"/>
  <c r="L298" i="11"/>
  <c r="K298" i="11"/>
  <c r="J298" i="11"/>
  <c r="L299" i="11" l="1"/>
  <c r="J299" i="11"/>
  <c r="K299" i="11"/>
  <c r="M301" i="11"/>
  <c r="N300" i="11"/>
  <c r="L300" i="11" l="1"/>
  <c r="J300" i="11"/>
  <c r="K300" i="11"/>
  <c r="M302" i="11"/>
  <c r="N301" i="11"/>
  <c r="L301" i="11" l="1"/>
  <c r="J301" i="11"/>
  <c r="K301" i="11"/>
  <c r="M303" i="11"/>
  <c r="N302" i="11"/>
  <c r="M304" i="11" l="1"/>
  <c r="N303" i="11"/>
  <c r="L302" i="11"/>
  <c r="K302" i="11"/>
  <c r="J302" i="11"/>
  <c r="L303" i="11" l="1"/>
  <c r="J303" i="11"/>
  <c r="K303" i="11"/>
  <c r="M305" i="11"/>
  <c r="N304" i="11"/>
  <c r="J304" i="11" l="1"/>
  <c r="K304" i="11"/>
  <c r="L304" i="11"/>
  <c r="M306" i="11"/>
  <c r="N305" i="11"/>
  <c r="L305" i="11" l="1"/>
  <c r="J305" i="11"/>
  <c r="K305" i="11"/>
  <c r="M307" i="11"/>
  <c r="N306" i="11"/>
  <c r="L306" i="11" l="1"/>
  <c r="K306" i="11"/>
  <c r="J306" i="11"/>
  <c r="M308" i="11"/>
  <c r="N307" i="11"/>
  <c r="M309" i="11" l="1"/>
  <c r="N308" i="11"/>
  <c r="L307" i="11"/>
  <c r="J307" i="11"/>
  <c r="K307" i="11"/>
  <c r="M310" i="11" l="1"/>
  <c r="N309" i="11"/>
  <c r="L308" i="11"/>
  <c r="J308" i="11"/>
  <c r="K308" i="11"/>
  <c r="L309" i="11" l="1"/>
  <c r="J309" i="11"/>
  <c r="K309" i="11"/>
  <c r="M311" i="11"/>
  <c r="N310" i="11"/>
  <c r="L310" i="11" l="1"/>
  <c r="K310" i="11"/>
  <c r="J310" i="11"/>
  <c r="M312" i="11"/>
  <c r="N311" i="11"/>
  <c r="L311" i="11" l="1"/>
  <c r="J311" i="11"/>
  <c r="K311" i="11"/>
  <c r="M313" i="11"/>
  <c r="N312" i="11"/>
  <c r="L312" i="11" l="1"/>
  <c r="J312" i="11"/>
  <c r="K312" i="11"/>
  <c r="M314" i="11"/>
  <c r="N313" i="11"/>
  <c r="L313" i="11" l="1"/>
  <c r="J313" i="11"/>
  <c r="K313" i="11"/>
  <c r="M315" i="11"/>
  <c r="N314" i="11"/>
  <c r="L314" i="11" l="1"/>
  <c r="K314" i="11"/>
  <c r="J314" i="11"/>
  <c r="M316" i="11"/>
  <c r="N315" i="11"/>
  <c r="L315" i="11" l="1"/>
  <c r="J315" i="11"/>
  <c r="K315" i="11"/>
  <c r="M317" i="11"/>
  <c r="N316" i="11"/>
  <c r="J316" i="11" l="1"/>
  <c r="K316" i="11"/>
  <c r="L316" i="11"/>
  <c r="M318" i="11"/>
  <c r="N317" i="11"/>
  <c r="L317" i="11" l="1"/>
  <c r="J317" i="11"/>
  <c r="K317" i="11"/>
  <c r="M319" i="11"/>
  <c r="N318" i="11"/>
  <c r="L318" i="11" l="1"/>
  <c r="K318" i="11"/>
  <c r="J318" i="11"/>
  <c r="M320" i="11"/>
  <c r="N319" i="11"/>
  <c r="L319" i="11" l="1"/>
  <c r="J319" i="11"/>
  <c r="K319" i="11"/>
  <c r="M321" i="11"/>
  <c r="N320" i="11"/>
  <c r="L320" i="11" l="1"/>
  <c r="J320" i="11"/>
  <c r="K320" i="11"/>
  <c r="M322" i="11"/>
  <c r="N321" i="11"/>
  <c r="L321" i="11" l="1"/>
  <c r="J321" i="11"/>
  <c r="K321" i="11"/>
  <c r="M323" i="11"/>
  <c r="N322" i="11"/>
  <c r="L322" i="11" l="1"/>
  <c r="K322" i="11"/>
  <c r="J322" i="11"/>
  <c r="M324" i="11"/>
  <c r="N323" i="11"/>
  <c r="L323" i="11" l="1"/>
  <c r="J323" i="11"/>
  <c r="K323" i="11"/>
  <c r="M325" i="11"/>
  <c r="N324" i="11"/>
  <c r="J324" i="11" l="1"/>
  <c r="K324" i="11"/>
  <c r="L324" i="11"/>
  <c r="M326" i="11"/>
  <c r="N325" i="11"/>
  <c r="M327" i="11" l="1"/>
  <c r="N326" i="11"/>
  <c r="L325" i="11"/>
  <c r="J325" i="11"/>
  <c r="K325" i="11"/>
  <c r="L326" i="11" l="1"/>
  <c r="K326" i="11"/>
  <c r="J326" i="11"/>
  <c r="M328" i="11"/>
  <c r="N327" i="11"/>
  <c r="M329" i="11" l="1"/>
  <c r="N328" i="11"/>
  <c r="L327" i="11"/>
  <c r="K327" i="11"/>
  <c r="J327" i="11"/>
  <c r="L328" i="11" l="1"/>
  <c r="J328" i="11"/>
  <c r="K328" i="11"/>
  <c r="M330" i="11"/>
  <c r="N329" i="11"/>
  <c r="M331" i="11" l="1"/>
  <c r="N330" i="11"/>
  <c r="L329" i="11"/>
  <c r="J329" i="11"/>
  <c r="K329" i="11"/>
  <c r="L330" i="11" l="1"/>
  <c r="K330" i="11"/>
  <c r="J330" i="11"/>
  <c r="M332" i="11"/>
  <c r="N331" i="11"/>
  <c r="L331" i="11" l="1"/>
  <c r="J331" i="11"/>
  <c r="K331" i="11"/>
  <c r="M333" i="11"/>
  <c r="N332" i="11"/>
  <c r="L332" i="11" l="1"/>
  <c r="J332" i="11"/>
  <c r="K332" i="11"/>
  <c r="M334" i="11"/>
  <c r="N333" i="11"/>
  <c r="L333" i="11" l="1"/>
  <c r="J333" i="11"/>
  <c r="K333" i="11"/>
  <c r="M335" i="11"/>
  <c r="N334" i="11"/>
  <c r="L334" i="11" l="1"/>
  <c r="K334" i="11"/>
  <c r="J334" i="11"/>
  <c r="M336" i="11"/>
  <c r="N335" i="11"/>
  <c r="M337" i="11" l="1"/>
  <c r="N336" i="11"/>
  <c r="J335" i="11"/>
  <c r="K335" i="11"/>
  <c r="L335" i="11"/>
  <c r="L336" i="11" l="1"/>
  <c r="J336" i="11"/>
  <c r="K336" i="11"/>
  <c r="M338" i="11"/>
  <c r="N337" i="11"/>
  <c r="L337" i="11" l="1"/>
  <c r="J337" i="11"/>
  <c r="K337" i="11"/>
  <c r="M339" i="11"/>
  <c r="N338" i="11"/>
  <c r="L338" i="11" l="1"/>
  <c r="K338" i="11"/>
  <c r="J338" i="11"/>
  <c r="M340" i="11"/>
  <c r="N339" i="11"/>
  <c r="L339" i="11" l="1"/>
  <c r="J339" i="11"/>
  <c r="K339" i="11"/>
  <c r="N340" i="11"/>
  <c r="M341" i="11"/>
  <c r="L340" i="11" l="1"/>
  <c r="J340" i="11"/>
  <c r="K340" i="11"/>
  <c r="M342" i="11"/>
  <c r="N341" i="11"/>
  <c r="L341" i="11" l="1"/>
  <c r="J341" i="11"/>
  <c r="K341" i="11"/>
  <c r="N342" i="11"/>
  <c r="M343" i="11"/>
  <c r="K342" i="11" l="1"/>
  <c r="J342" i="11"/>
  <c r="L342" i="11"/>
  <c r="M344" i="11"/>
  <c r="N343" i="11"/>
  <c r="K343" i="11" l="1"/>
  <c r="L343" i="11"/>
  <c r="J343" i="11"/>
  <c r="M345" i="11"/>
  <c r="N344" i="11"/>
  <c r="L344" i="11" l="1"/>
  <c r="J344" i="11"/>
  <c r="K344" i="11"/>
  <c r="N345" i="11"/>
  <c r="M346" i="11"/>
  <c r="M347" i="11" l="1"/>
  <c r="N346" i="11"/>
  <c r="J345" i="11"/>
  <c r="K345" i="11"/>
  <c r="L345" i="11"/>
  <c r="J346" i="11" l="1"/>
  <c r="L346" i="11"/>
  <c r="K346" i="11"/>
  <c r="N347" i="11"/>
  <c r="M348" i="11"/>
  <c r="L347" i="11" l="1"/>
  <c r="J347" i="11"/>
  <c r="K347" i="11"/>
  <c r="M349" i="11"/>
  <c r="N348" i="11"/>
  <c r="N349" i="11" l="1"/>
  <c r="M350" i="11"/>
  <c r="L348" i="11"/>
  <c r="K348" i="11"/>
  <c r="J348" i="11"/>
  <c r="L349" i="11" l="1"/>
  <c r="J349" i="11"/>
  <c r="K349" i="11"/>
  <c r="N350" i="11"/>
  <c r="M351" i="11"/>
  <c r="N351" i="11" l="1"/>
  <c r="M352" i="11"/>
  <c r="J350" i="11"/>
  <c r="K350" i="11"/>
  <c r="L350" i="11"/>
  <c r="M353" i="11" l="1"/>
  <c r="N352" i="11"/>
  <c r="J351" i="11"/>
  <c r="K351" i="11"/>
  <c r="L351" i="11"/>
  <c r="J352" i="11" l="1"/>
  <c r="K352" i="11"/>
  <c r="L352" i="11"/>
  <c r="M354" i="11"/>
  <c r="N353" i="11"/>
  <c r="M355" i="11" l="1"/>
  <c r="N354" i="11"/>
  <c r="L353" i="11"/>
  <c r="K353" i="11"/>
  <c r="J353" i="11"/>
  <c r="J354" i="11" l="1"/>
  <c r="L354" i="11"/>
  <c r="K354" i="11"/>
  <c r="M356" i="11"/>
  <c r="N355" i="11"/>
  <c r="L355" i="11" l="1"/>
  <c r="J355" i="11"/>
  <c r="K355" i="11"/>
  <c r="M357" i="11"/>
  <c r="N356" i="11"/>
  <c r="J356" i="11" l="1"/>
  <c r="K356" i="11"/>
  <c r="L356" i="11"/>
  <c r="M358" i="11"/>
  <c r="N357" i="11"/>
  <c r="J357" i="11" l="1"/>
  <c r="L357" i="11"/>
  <c r="K357" i="11"/>
  <c r="M359" i="11"/>
  <c r="N358" i="11"/>
  <c r="L358" i="11" l="1"/>
  <c r="J358" i="11"/>
  <c r="K358" i="11"/>
  <c r="N359" i="11"/>
  <c r="M360" i="11"/>
  <c r="M361" i="11" l="1"/>
  <c r="N360" i="11"/>
  <c r="J359" i="11"/>
  <c r="K359" i="11"/>
  <c r="L359" i="11"/>
  <c r="L360" i="11" l="1"/>
  <c r="J360" i="11"/>
  <c r="K360" i="11"/>
  <c r="M362" i="11"/>
  <c r="N361" i="11"/>
  <c r="L361" i="11" l="1"/>
  <c r="J361" i="11"/>
  <c r="K361" i="11"/>
  <c r="M363" i="11"/>
  <c r="N362" i="11"/>
  <c r="J362" i="11" l="1"/>
  <c r="L362" i="11"/>
  <c r="K362" i="11"/>
  <c r="M364" i="11"/>
  <c r="N363" i="11"/>
  <c r="L363" i="11" l="1"/>
  <c r="J363" i="11"/>
  <c r="K363" i="11"/>
  <c r="N364" i="11"/>
  <c r="M365" i="11"/>
  <c r="N365" i="11" l="1"/>
  <c r="M366" i="11"/>
  <c r="J364" i="11"/>
  <c r="K364" i="11"/>
  <c r="L364" i="11"/>
  <c r="M367" i="11" l="1"/>
  <c r="N366" i="11"/>
  <c r="L365" i="11"/>
  <c r="J365" i="11"/>
  <c r="K365" i="11"/>
  <c r="K366" i="11" l="1"/>
  <c r="J366" i="11"/>
  <c r="L366" i="11"/>
  <c r="M368" i="11"/>
  <c r="N367" i="11"/>
  <c r="L367" i="11" l="1"/>
  <c r="J367" i="11"/>
  <c r="K367" i="11"/>
  <c r="M369" i="11"/>
  <c r="N368" i="11"/>
  <c r="M370" i="11" l="1"/>
  <c r="N369" i="11"/>
  <c r="J368" i="11"/>
  <c r="K368" i="11"/>
  <c r="L368" i="11"/>
  <c r="L369" i="11" l="1"/>
  <c r="J369" i="11"/>
  <c r="K369" i="11"/>
  <c r="M371" i="11"/>
  <c r="N370" i="11"/>
  <c r="L370" i="11" l="1"/>
  <c r="K370" i="11"/>
  <c r="J370" i="11"/>
  <c r="M372" i="11"/>
  <c r="N371" i="11"/>
  <c r="L371" i="11" l="1"/>
  <c r="J371" i="11"/>
  <c r="K371" i="11"/>
  <c r="M373" i="11"/>
  <c r="N372" i="11"/>
  <c r="J372" i="11" l="1"/>
  <c r="L372" i="11"/>
  <c r="K372" i="11"/>
  <c r="M374" i="11"/>
  <c r="N373" i="11"/>
  <c r="M375" i="11" l="1"/>
  <c r="N374" i="11"/>
  <c r="L373" i="11"/>
  <c r="J373" i="11"/>
  <c r="K373" i="11"/>
  <c r="J374" i="11" l="1"/>
  <c r="L374" i="11"/>
  <c r="K374" i="11"/>
  <c r="M376" i="11"/>
  <c r="N375" i="11"/>
  <c r="L375" i="11" l="1"/>
  <c r="J375" i="11"/>
  <c r="K375" i="11"/>
  <c r="M377" i="11"/>
  <c r="N376" i="11"/>
  <c r="M378" i="11" l="1"/>
  <c r="N377" i="11"/>
  <c r="L376" i="11"/>
  <c r="J376" i="11"/>
  <c r="K376" i="11"/>
  <c r="M379" i="11" l="1"/>
  <c r="N378" i="11"/>
  <c r="J377" i="11"/>
  <c r="K377" i="11"/>
  <c r="L377" i="11"/>
  <c r="L378" i="11" l="1"/>
  <c r="J378" i="11"/>
  <c r="K378" i="11"/>
  <c r="M380" i="11"/>
  <c r="N379" i="11"/>
  <c r="L379" i="11" l="1"/>
  <c r="J379" i="11"/>
  <c r="K379" i="11"/>
  <c r="M381" i="11"/>
  <c r="N380" i="11"/>
  <c r="L380" i="11" l="1"/>
  <c r="K380" i="11"/>
  <c r="J380" i="11"/>
  <c r="M382" i="11"/>
  <c r="N381" i="11"/>
  <c r="L381" i="11" l="1"/>
  <c r="J381" i="11"/>
  <c r="K381" i="11"/>
  <c r="M383" i="11"/>
  <c r="N382" i="11"/>
  <c r="L382" i="11" l="1"/>
  <c r="J382" i="11"/>
  <c r="K382" i="11"/>
  <c r="M384" i="11"/>
  <c r="N383" i="11"/>
  <c r="M385" i="11" l="1"/>
  <c r="N384" i="11"/>
  <c r="L383" i="11"/>
  <c r="J383" i="11"/>
  <c r="K383" i="11"/>
  <c r="L384" i="11" l="1"/>
  <c r="J384" i="11"/>
  <c r="K384" i="11"/>
  <c r="M386" i="11"/>
  <c r="N385" i="11"/>
  <c r="J385" i="11" l="1"/>
  <c r="L385" i="11"/>
  <c r="K385" i="11"/>
  <c r="M387" i="11"/>
  <c r="N386" i="11"/>
  <c r="K386" i="11" l="1"/>
  <c r="J386" i="11"/>
  <c r="L386" i="11"/>
  <c r="N387" i="11"/>
  <c r="M388" i="11"/>
  <c r="M389" i="11" l="1"/>
  <c r="N388" i="11"/>
  <c r="L387" i="11"/>
  <c r="J387" i="11"/>
  <c r="K387" i="11"/>
  <c r="L388" i="11" l="1"/>
  <c r="J388" i="11"/>
  <c r="K388" i="11"/>
  <c r="M390" i="11"/>
  <c r="N389" i="11"/>
  <c r="J389" i="11" l="1"/>
  <c r="L389" i="11"/>
  <c r="K389" i="11"/>
  <c r="N390" i="11"/>
  <c r="M391" i="11"/>
  <c r="M392" i="11" l="1"/>
  <c r="N391" i="11"/>
  <c r="L390" i="11"/>
  <c r="K390" i="11"/>
  <c r="J390" i="11"/>
  <c r="L391" i="11" l="1"/>
  <c r="K391" i="11"/>
  <c r="J391" i="11"/>
  <c r="M393" i="11"/>
  <c r="N392" i="11"/>
  <c r="L392" i="11" l="1"/>
  <c r="J392" i="11"/>
  <c r="K392" i="11"/>
  <c r="N393" i="11"/>
  <c r="M394" i="11"/>
  <c r="M395" i="11" l="1"/>
  <c r="N394" i="11"/>
  <c r="L393" i="11"/>
  <c r="J393" i="11"/>
  <c r="K393" i="11"/>
  <c r="J394" i="11" l="1"/>
  <c r="L394" i="11"/>
  <c r="K394" i="11"/>
  <c r="M396" i="11"/>
  <c r="N395" i="11"/>
  <c r="J395" i="11" l="1"/>
  <c r="L395" i="11"/>
  <c r="K395" i="11"/>
  <c r="M397" i="11"/>
  <c r="N396" i="11"/>
  <c r="J396" i="11" l="1"/>
  <c r="L396" i="11"/>
  <c r="K396" i="11"/>
  <c r="M398" i="11"/>
  <c r="N397" i="11"/>
  <c r="M399" i="11" l="1"/>
  <c r="N398" i="11"/>
  <c r="J397" i="11"/>
  <c r="L397" i="11"/>
  <c r="K397" i="11"/>
  <c r="J398" i="11" l="1"/>
  <c r="K398" i="11"/>
  <c r="L398" i="11"/>
  <c r="M400" i="11"/>
  <c r="N399" i="11"/>
  <c r="L399" i="11" l="1"/>
  <c r="J399" i="11"/>
  <c r="K399" i="11"/>
  <c r="M401" i="11"/>
  <c r="N400" i="11"/>
  <c r="M402" i="11" l="1"/>
  <c r="N401" i="11"/>
  <c r="J400" i="11"/>
  <c r="L400" i="11"/>
  <c r="K400" i="11"/>
  <c r="J401" i="11" l="1"/>
  <c r="K401" i="11"/>
  <c r="L401" i="11"/>
  <c r="M403" i="11"/>
  <c r="N402" i="11"/>
  <c r="L402" i="11" l="1"/>
  <c r="J402" i="11"/>
  <c r="K402" i="11"/>
  <c r="M404" i="11"/>
  <c r="N403" i="11"/>
  <c r="L403" i="11" l="1"/>
  <c r="J403" i="11"/>
  <c r="K403" i="11"/>
  <c r="M405" i="11"/>
  <c r="N404" i="11"/>
  <c r="K404" i="11" l="1"/>
  <c r="J404" i="11"/>
  <c r="L404" i="11"/>
  <c r="M406" i="11"/>
  <c r="N405" i="11"/>
  <c r="J405" i="11" l="1"/>
  <c r="L405" i="11"/>
  <c r="K405" i="11"/>
  <c r="M407" i="11"/>
  <c r="N406" i="11"/>
  <c r="M408" i="11" l="1"/>
  <c r="N407" i="11"/>
  <c r="L406" i="11"/>
  <c r="J406" i="11"/>
  <c r="K406" i="11"/>
  <c r="M409" i="11" l="1"/>
  <c r="N408" i="11"/>
  <c r="L407" i="11"/>
  <c r="J407" i="11"/>
  <c r="K407" i="11"/>
  <c r="L408" i="11" l="1"/>
  <c r="J408" i="11"/>
  <c r="K408" i="11"/>
  <c r="M410" i="11"/>
  <c r="N409" i="11"/>
  <c r="M411" i="11" l="1"/>
  <c r="N410" i="11"/>
  <c r="L409" i="11"/>
  <c r="K409" i="11"/>
  <c r="J409" i="11"/>
  <c r="K410" i="11" l="1"/>
  <c r="L410" i="11"/>
  <c r="J410" i="11"/>
  <c r="M412" i="11"/>
  <c r="N411" i="11"/>
  <c r="K411" i="11" l="1"/>
  <c r="J411" i="11"/>
  <c r="L411" i="11"/>
  <c r="M413" i="11"/>
  <c r="N412" i="11"/>
  <c r="M414" i="11" l="1"/>
  <c r="N413" i="11"/>
  <c r="L412" i="11"/>
  <c r="J412" i="11"/>
  <c r="K412" i="11"/>
  <c r="J413" i="11" l="1"/>
  <c r="L413" i="11"/>
  <c r="K413" i="11"/>
  <c r="M415" i="11"/>
  <c r="N414" i="11"/>
  <c r="L414" i="11" l="1"/>
  <c r="J414" i="11"/>
  <c r="K414" i="11"/>
  <c r="N415" i="11"/>
  <c r="M416" i="11"/>
  <c r="M417" i="11" l="1"/>
  <c r="N416" i="11"/>
  <c r="K415" i="11"/>
  <c r="J415" i="11"/>
  <c r="L415" i="11"/>
  <c r="K416" i="11" l="1"/>
  <c r="L416" i="11"/>
  <c r="J416" i="11"/>
  <c r="M418" i="11"/>
  <c r="N417" i="11"/>
  <c r="K417" i="11" l="1"/>
  <c r="J417" i="11"/>
  <c r="L417" i="11"/>
  <c r="M419" i="11"/>
  <c r="N418" i="11"/>
  <c r="L418" i="11" l="1"/>
  <c r="K418" i="11"/>
  <c r="J418" i="11"/>
  <c r="M420" i="11"/>
  <c r="N419" i="11"/>
  <c r="K419" i="11" l="1"/>
  <c r="J419" i="11"/>
  <c r="L419" i="11"/>
  <c r="M421" i="11"/>
  <c r="N420" i="11"/>
  <c r="L420" i="11" l="1"/>
  <c r="K420" i="11"/>
  <c r="J420" i="11"/>
  <c r="M422" i="11"/>
  <c r="N421" i="11"/>
  <c r="K421" i="11" l="1"/>
  <c r="J421" i="11"/>
  <c r="L421" i="11"/>
  <c r="N422" i="11"/>
  <c r="M423" i="11"/>
  <c r="L422" i="11" l="1"/>
  <c r="K422" i="11"/>
  <c r="J422" i="11"/>
  <c r="M424" i="11"/>
  <c r="N423" i="11"/>
  <c r="K423" i="11" l="1"/>
  <c r="L423" i="11"/>
  <c r="J423" i="11"/>
  <c r="M425" i="11"/>
  <c r="N424" i="11"/>
  <c r="J424" i="11" l="1"/>
  <c r="L424" i="11"/>
  <c r="K424" i="11"/>
  <c r="N425" i="11"/>
  <c r="M426" i="11"/>
  <c r="M427" i="11" l="1"/>
  <c r="N426" i="11"/>
  <c r="L425" i="11"/>
  <c r="K425" i="11"/>
  <c r="J425" i="11"/>
  <c r="K426" i="11" l="1"/>
  <c r="L426" i="11"/>
  <c r="J426" i="11"/>
  <c r="M428" i="11"/>
  <c r="N427" i="11"/>
  <c r="K427" i="11" l="1"/>
  <c r="L427" i="11"/>
  <c r="J427" i="11"/>
  <c r="M429" i="11"/>
  <c r="N428" i="11"/>
  <c r="L428" i="11" l="1"/>
  <c r="K428" i="11"/>
  <c r="J428" i="11"/>
  <c r="M430" i="11"/>
  <c r="N429" i="11"/>
  <c r="K429" i="11" l="1"/>
  <c r="L429" i="11"/>
  <c r="J429" i="11"/>
  <c r="N430" i="11"/>
  <c r="M431" i="11"/>
  <c r="M432" i="11" l="1"/>
  <c r="N431" i="11"/>
  <c r="L430" i="11"/>
  <c r="J430" i="11"/>
  <c r="K430" i="11"/>
  <c r="M433" i="11" l="1"/>
  <c r="N432" i="11"/>
  <c r="K431" i="11"/>
  <c r="J431" i="11"/>
  <c r="L431" i="11"/>
  <c r="K432" i="11" l="1"/>
  <c r="L432" i="11"/>
  <c r="J432" i="11"/>
  <c r="M434" i="11"/>
  <c r="N433" i="11"/>
  <c r="M435" i="11" l="1"/>
  <c r="N434" i="11"/>
  <c r="K433" i="11"/>
  <c r="J433" i="11"/>
  <c r="L433" i="11"/>
  <c r="L434" i="11" l="1"/>
  <c r="J434" i="11"/>
  <c r="K434" i="11"/>
  <c r="M436" i="11"/>
  <c r="N435" i="11"/>
  <c r="K435" i="11" l="1"/>
  <c r="J435" i="11"/>
  <c r="L435" i="11"/>
  <c r="N436" i="11"/>
  <c r="M437" i="11"/>
  <c r="J436" i="11" l="1"/>
  <c r="L436" i="11"/>
  <c r="K436" i="11"/>
  <c r="M438" i="11"/>
  <c r="N437" i="11"/>
  <c r="K437" i="11" l="1"/>
  <c r="J437" i="11"/>
  <c r="L437" i="11"/>
  <c r="N438" i="11"/>
  <c r="M439" i="11"/>
  <c r="M440" i="11" l="1"/>
  <c r="N439" i="11"/>
  <c r="L438" i="11"/>
  <c r="K438" i="11"/>
  <c r="J438" i="11"/>
  <c r="L439" i="11" l="1"/>
  <c r="K439" i="11"/>
  <c r="J439" i="11"/>
  <c r="M441" i="11"/>
  <c r="N440" i="11"/>
  <c r="K440" i="11" l="1"/>
  <c r="J440" i="11"/>
  <c r="L440" i="11"/>
  <c r="M442" i="11"/>
  <c r="N441" i="11"/>
  <c r="M443" i="11" l="1"/>
  <c r="N442" i="11"/>
  <c r="L441" i="11"/>
  <c r="J441" i="11"/>
  <c r="K441" i="11"/>
  <c r="J442" i="11" l="1"/>
  <c r="L442" i="11"/>
  <c r="K442" i="11"/>
  <c r="M444" i="11"/>
  <c r="N443" i="11"/>
  <c r="M445" i="11" l="1"/>
  <c r="N444" i="11"/>
  <c r="J443" i="11"/>
  <c r="K443" i="11"/>
  <c r="L443" i="11"/>
  <c r="M446" i="11" l="1"/>
  <c r="N445" i="11"/>
  <c r="K444" i="11"/>
  <c r="J444" i="11"/>
  <c r="L444" i="11"/>
  <c r="J445" i="11" l="1"/>
  <c r="L445" i="11"/>
  <c r="K445" i="11"/>
  <c r="M447" i="11"/>
  <c r="N446" i="11"/>
  <c r="K446" i="11" l="1"/>
  <c r="J446" i="11"/>
  <c r="L446" i="11"/>
  <c r="N447" i="11"/>
  <c r="M448" i="11"/>
  <c r="M449" i="11" l="1"/>
  <c r="N448" i="11"/>
  <c r="J447" i="11"/>
  <c r="L447" i="11"/>
  <c r="K447" i="11"/>
  <c r="K448" i="11" l="1"/>
  <c r="J448" i="11"/>
  <c r="L448" i="11"/>
  <c r="M450" i="11"/>
  <c r="N449" i="11"/>
  <c r="L449" i="11" l="1"/>
  <c r="J449" i="11"/>
  <c r="K449" i="11"/>
  <c r="M451" i="11"/>
  <c r="N450" i="11"/>
  <c r="M452" i="11" l="1"/>
  <c r="N451" i="11"/>
  <c r="K450" i="11"/>
  <c r="L450" i="11"/>
  <c r="J450" i="11"/>
  <c r="M453" i="11" l="1"/>
  <c r="N452" i="11"/>
  <c r="K451" i="11"/>
  <c r="J451" i="11"/>
  <c r="L451" i="11"/>
  <c r="J452" i="11" l="1"/>
  <c r="L452" i="11"/>
  <c r="K452" i="11"/>
  <c r="M454" i="11"/>
  <c r="N453" i="11"/>
  <c r="J453" i="11" l="1"/>
  <c r="K453" i="11"/>
  <c r="L453" i="11"/>
  <c r="N454" i="11"/>
  <c r="M455" i="11"/>
  <c r="L454" i="11" l="1"/>
  <c r="J454" i="11"/>
  <c r="K454" i="11"/>
  <c r="M456" i="11"/>
  <c r="N455" i="11"/>
  <c r="L455" i="11" l="1"/>
  <c r="J455" i="11"/>
  <c r="K455" i="11"/>
  <c r="M457" i="11"/>
  <c r="N456" i="11"/>
  <c r="L456" i="11" l="1"/>
  <c r="J456" i="11"/>
  <c r="K456" i="11"/>
  <c r="M458" i="11"/>
  <c r="N457" i="11"/>
  <c r="J457" i="11" l="1"/>
  <c r="L457" i="11"/>
  <c r="K457" i="11"/>
  <c r="M459" i="11"/>
  <c r="N458" i="11"/>
  <c r="L458" i="11" l="1"/>
  <c r="J458" i="11"/>
  <c r="K458" i="11"/>
  <c r="M460" i="11"/>
  <c r="N459" i="11"/>
  <c r="J459" i="11" l="1"/>
  <c r="K459" i="11"/>
  <c r="L459" i="11"/>
  <c r="M461" i="11"/>
  <c r="N460" i="11"/>
  <c r="K460" i="11" l="1"/>
  <c r="L460" i="11"/>
  <c r="J460" i="11"/>
  <c r="M462" i="11"/>
  <c r="N461" i="11"/>
  <c r="L461" i="11" l="1"/>
  <c r="J461" i="11"/>
  <c r="K461" i="11"/>
  <c r="M463" i="11"/>
  <c r="N462" i="11"/>
  <c r="L462" i="11" l="1"/>
  <c r="J462" i="11"/>
  <c r="K462" i="11"/>
  <c r="M464" i="11"/>
  <c r="N463" i="11"/>
  <c r="L463" i="11" l="1"/>
  <c r="J463" i="11"/>
  <c r="K463" i="11"/>
  <c r="M465" i="11"/>
  <c r="N464" i="11"/>
  <c r="J464" i="11" l="1"/>
  <c r="K464" i="11"/>
  <c r="L464" i="11"/>
  <c r="M466" i="11"/>
  <c r="N465" i="11"/>
  <c r="J465" i="11" l="1"/>
  <c r="K465" i="11"/>
  <c r="L465" i="11"/>
  <c r="M467" i="11"/>
  <c r="N466" i="11"/>
  <c r="J466" i="11" l="1"/>
  <c r="L466" i="11"/>
  <c r="K466" i="11"/>
  <c r="M468" i="11"/>
  <c r="N467" i="11"/>
  <c r="L467" i="11" l="1"/>
  <c r="J467" i="11"/>
  <c r="K467" i="11"/>
  <c r="N468" i="11"/>
  <c r="M469" i="11"/>
  <c r="M470" i="11" l="1"/>
  <c r="N469" i="11"/>
  <c r="L468" i="11"/>
  <c r="K468" i="11"/>
  <c r="J468" i="11"/>
  <c r="J469" i="11" l="1"/>
  <c r="K469" i="11"/>
  <c r="L469" i="11"/>
  <c r="M471" i="11"/>
  <c r="N470" i="11"/>
  <c r="L470" i="11" l="1"/>
  <c r="J470" i="11"/>
  <c r="K470" i="11"/>
  <c r="M472" i="11"/>
  <c r="N471" i="11"/>
  <c r="L471" i="11" l="1"/>
  <c r="J471" i="11"/>
  <c r="K471" i="11"/>
  <c r="M473" i="11"/>
  <c r="N472" i="11"/>
  <c r="J472" i="11" l="1"/>
  <c r="K472" i="11"/>
  <c r="L472" i="11"/>
  <c r="M474" i="11"/>
  <c r="N473" i="11"/>
  <c r="J473" i="11" l="1"/>
  <c r="L473" i="11"/>
  <c r="K473" i="11"/>
  <c r="M475" i="11"/>
  <c r="N474" i="11"/>
  <c r="N475" i="11" l="1"/>
  <c r="M476" i="11"/>
  <c r="L474" i="11"/>
  <c r="J474" i="11"/>
  <c r="K474" i="11"/>
  <c r="M477" i="11" l="1"/>
  <c r="N476" i="11"/>
  <c r="L475" i="11"/>
  <c r="K475" i="11"/>
  <c r="J475" i="11"/>
  <c r="J476" i="11" l="1"/>
  <c r="K476" i="11"/>
  <c r="L476" i="11"/>
  <c r="N477" i="11"/>
  <c r="M478" i="11"/>
  <c r="M479" i="11" l="1"/>
  <c r="N478" i="11"/>
  <c r="K477" i="11"/>
  <c r="L477" i="11"/>
  <c r="J477" i="11"/>
  <c r="K478" i="11" l="1"/>
  <c r="L478" i="11"/>
  <c r="J478" i="11"/>
  <c r="M480" i="11"/>
  <c r="N479" i="11"/>
  <c r="J479" i="11" l="1"/>
  <c r="L479" i="11"/>
  <c r="K479" i="11"/>
  <c r="M481" i="11"/>
  <c r="N480" i="11"/>
  <c r="K480" i="11" l="1"/>
  <c r="L480" i="11"/>
  <c r="J480" i="11"/>
  <c r="M482" i="11"/>
  <c r="N481" i="11"/>
  <c r="L481" i="11" l="1"/>
  <c r="J481" i="11"/>
  <c r="K481" i="11"/>
  <c r="M483" i="11"/>
  <c r="N482" i="11"/>
  <c r="K482" i="11" l="1"/>
  <c r="L482" i="11"/>
  <c r="J482" i="11"/>
  <c r="M484" i="11"/>
  <c r="N483" i="11"/>
  <c r="K483" i="11" l="1"/>
  <c r="J483" i="11"/>
  <c r="L483" i="11"/>
  <c r="M485" i="11"/>
  <c r="N484" i="11"/>
  <c r="L484" i="11" l="1"/>
  <c r="K484" i="11"/>
  <c r="J484" i="11"/>
  <c r="M486" i="11"/>
  <c r="N485" i="11"/>
  <c r="M487" i="11" l="1"/>
  <c r="N486" i="11"/>
  <c r="J485" i="11"/>
  <c r="L485" i="11"/>
  <c r="K485" i="11"/>
  <c r="J486" i="11" l="1"/>
  <c r="K486" i="11"/>
  <c r="L486" i="11"/>
  <c r="M488" i="11"/>
  <c r="N487" i="11"/>
  <c r="L487" i="11" l="1"/>
  <c r="J487" i="11"/>
  <c r="K487" i="11"/>
  <c r="N488" i="11"/>
  <c r="M489" i="11"/>
  <c r="M490" i="11" l="1"/>
  <c r="N489" i="11"/>
  <c r="L488" i="11"/>
  <c r="J488" i="11"/>
  <c r="K488" i="11"/>
  <c r="J489" i="11" l="1"/>
  <c r="K489" i="11"/>
  <c r="L489" i="11"/>
  <c r="N490" i="11"/>
  <c r="M491" i="11"/>
  <c r="N491" i="11" l="1"/>
  <c r="M492" i="11"/>
  <c r="J490" i="11"/>
  <c r="L490" i="11"/>
  <c r="K490" i="11"/>
  <c r="E87" i="11" l="1"/>
  <c r="D87" i="11"/>
  <c r="D65" i="11"/>
  <c r="N492" i="11"/>
  <c r="M493" i="11"/>
  <c r="K491" i="11"/>
  <c r="J491" i="11"/>
  <c r="L491" i="11"/>
  <c r="M494" i="11" l="1"/>
  <c r="N493" i="11"/>
  <c r="K492" i="11"/>
  <c r="J492" i="11"/>
  <c r="L492" i="11"/>
  <c r="J493" i="11" l="1"/>
  <c r="L493" i="11"/>
  <c r="K493" i="11"/>
  <c r="N494" i="11"/>
  <c r="M495" i="11"/>
  <c r="N495" i="11" l="1"/>
  <c r="M496" i="11"/>
  <c r="L494" i="11"/>
  <c r="K494" i="11"/>
  <c r="J494" i="11"/>
  <c r="N496" i="11" l="1"/>
  <c r="M497" i="11"/>
  <c r="L495" i="11"/>
  <c r="K495" i="11"/>
  <c r="J495" i="11"/>
  <c r="M498" i="11" l="1"/>
  <c r="N497" i="11"/>
  <c r="K496" i="11"/>
  <c r="J496" i="11"/>
  <c r="L496" i="11"/>
  <c r="L497" i="11" l="1"/>
  <c r="K497" i="11"/>
  <c r="J497" i="11"/>
  <c r="N498" i="11"/>
  <c r="M499" i="11"/>
  <c r="M500" i="11" l="1"/>
  <c r="N499" i="11"/>
  <c r="K498" i="11"/>
  <c r="J498" i="11"/>
  <c r="L498" i="11"/>
  <c r="K499" i="11" l="1"/>
  <c r="J499" i="11"/>
  <c r="L499" i="11"/>
  <c r="M501" i="11"/>
  <c r="N500" i="11"/>
  <c r="M502" i="11" l="1"/>
  <c r="N501" i="11"/>
  <c r="K500" i="11"/>
  <c r="J500" i="11"/>
  <c r="L500" i="11"/>
  <c r="K501" i="11" l="1"/>
  <c r="L501" i="11"/>
  <c r="J501" i="11"/>
  <c r="M503" i="11"/>
  <c r="N502" i="11"/>
  <c r="N503" i="11" l="1"/>
  <c r="M504" i="11"/>
  <c r="K502" i="11"/>
  <c r="J502" i="11"/>
  <c r="L502" i="11"/>
  <c r="N504" i="11" l="1"/>
  <c r="M505" i="11"/>
  <c r="K503" i="11"/>
  <c r="J503" i="11"/>
  <c r="L503" i="11"/>
  <c r="M506" i="11" l="1"/>
  <c r="N505" i="11"/>
  <c r="K504" i="11"/>
  <c r="J504" i="11"/>
  <c r="L504" i="11"/>
  <c r="L505" i="11" l="1"/>
  <c r="K505" i="11"/>
  <c r="J505" i="11"/>
  <c r="N506" i="11"/>
  <c r="M507" i="11"/>
  <c r="M508" i="11" l="1"/>
  <c r="N507" i="11"/>
  <c r="K506" i="11"/>
  <c r="J506" i="11"/>
  <c r="L506" i="11"/>
  <c r="K507" i="11" l="1"/>
  <c r="J507" i="11"/>
  <c r="L507" i="11"/>
  <c r="N508" i="11"/>
  <c r="M509" i="11"/>
  <c r="M510" i="11" l="1"/>
  <c r="N509" i="11"/>
  <c r="K508" i="11"/>
  <c r="J508" i="11"/>
  <c r="L508" i="11"/>
  <c r="K509" i="11" l="1"/>
  <c r="L509" i="11"/>
  <c r="J509" i="11"/>
  <c r="M511" i="11"/>
  <c r="N510" i="11"/>
  <c r="K510" i="11" l="1"/>
  <c r="J510" i="11"/>
  <c r="L510" i="11"/>
  <c r="N511" i="11"/>
  <c r="M512" i="11"/>
  <c r="N512" i="11" l="1"/>
  <c r="M513" i="11"/>
  <c r="K511" i="11"/>
  <c r="J511" i="11"/>
  <c r="L511" i="11"/>
  <c r="N513" i="11" l="1"/>
  <c r="M514" i="11"/>
  <c r="K512" i="11"/>
  <c r="J512" i="11"/>
  <c r="L512" i="11"/>
  <c r="N514" i="11" l="1"/>
  <c r="M515" i="11"/>
  <c r="K513" i="11"/>
  <c r="J513" i="11"/>
  <c r="L513" i="11"/>
  <c r="N515" i="11" l="1"/>
  <c r="M516" i="11"/>
  <c r="K514" i="11"/>
  <c r="J514" i="11"/>
  <c r="L514" i="11"/>
  <c r="N516" i="11" l="1"/>
  <c r="M517" i="11"/>
  <c r="K515" i="11"/>
  <c r="J515" i="11"/>
  <c r="L515" i="11"/>
  <c r="M518" i="11" l="1"/>
  <c r="N517" i="11"/>
  <c r="K516" i="11"/>
  <c r="J516" i="11"/>
  <c r="L516" i="11"/>
  <c r="K517" i="11" l="1"/>
  <c r="J517" i="11"/>
  <c r="L517" i="11"/>
  <c r="M519" i="11"/>
  <c r="N518" i="11"/>
  <c r="K518" i="11" l="1"/>
  <c r="J518" i="11"/>
  <c r="L518" i="11"/>
  <c r="N519" i="11"/>
  <c r="M520" i="11"/>
  <c r="N520" i="11" l="1"/>
  <c r="M521" i="11"/>
  <c r="L519" i="11"/>
  <c r="K519" i="11"/>
  <c r="J519" i="11"/>
  <c r="N521" i="11" l="1"/>
  <c r="M522" i="11"/>
  <c r="K520" i="11"/>
  <c r="J520" i="11"/>
  <c r="L520" i="11"/>
  <c r="N522" i="11" l="1"/>
  <c r="M523" i="11"/>
  <c r="K521" i="11"/>
  <c r="J521" i="11"/>
  <c r="L521" i="11"/>
  <c r="N523" i="11" l="1"/>
  <c r="M524" i="11"/>
  <c r="K522" i="11"/>
  <c r="L522" i="11"/>
  <c r="J522" i="11"/>
  <c r="N524" i="11" l="1"/>
  <c r="M525" i="11"/>
  <c r="K523" i="11"/>
  <c r="J523" i="11"/>
  <c r="L523" i="11"/>
  <c r="M526" i="11" l="1"/>
  <c r="N525" i="11"/>
  <c r="K524" i="11"/>
  <c r="J524" i="11"/>
  <c r="L524" i="11"/>
  <c r="K525" i="11" l="1"/>
  <c r="J525" i="11"/>
  <c r="L525" i="11"/>
  <c r="N526" i="11"/>
  <c r="M527" i="11"/>
  <c r="K526" i="11" l="1"/>
  <c r="J526" i="11"/>
  <c r="L526" i="11"/>
  <c r="N527" i="11"/>
  <c r="M528" i="11"/>
  <c r="N528" i="11" l="1"/>
  <c r="M529" i="11"/>
  <c r="K527" i="11"/>
  <c r="J527" i="11"/>
  <c r="L527" i="11"/>
  <c r="N529" i="11" l="1"/>
  <c r="M530" i="11"/>
  <c r="K528" i="11"/>
  <c r="J528" i="11"/>
  <c r="L528" i="11"/>
  <c r="N530" i="11" l="1"/>
  <c r="M531" i="11"/>
  <c r="L529" i="11"/>
  <c r="K529" i="11"/>
  <c r="J529" i="11"/>
  <c r="M532" i="11" l="1"/>
  <c r="N531" i="11"/>
  <c r="K530" i="11"/>
  <c r="L530" i="11"/>
  <c r="J530" i="11"/>
  <c r="K531" i="11" l="1"/>
  <c r="L531" i="11"/>
  <c r="J531" i="11"/>
  <c r="N532" i="11"/>
  <c r="M533" i="11"/>
  <c r="K532" i="11" l="1"/>
  <c r="L532" i="11"/>
  <c r="J532" i="11"/>
  <c r="N533" i="11"/>
  <c r="M534" i="11"/>
  <c r="K533" i="11" l="1"/>
  <c r="J533" i="11"/>
  <c r="L533" i="11"/>
  <c r="M535" i="11"/>
  <c r="N534" i="11"/>
  <c r="K534" i="11" l="1"/>
  <c r="J534" i="11"/>
  <c r="L534" i="11"/>
  <c r="N535" i="11"/>
  <c r="M536" i="11"/>
  <c r="N536" i="11" l="1"/>
  <c r="M537" i="11"/>
  <c r="K535" i="11"/>
  <c r="J535" i="11"/>
  <c r="L535" i="11"/>
  <c r="N537" i="11" l="1"/>
  <c r="M538" i="11"/>
  <c r="K536" i="11"/>
  <c r="J536" i="11"/>
  <c r="L536" i="11"/>
  <c r="M539" i="11" l="1"/>
  <c r="N538" i="11"/>
  <c r="K537" i="11"/>
  <c r="J537" i="11"/>
  <c r="L537" i="11"/>
  <c r="K538" i="11" l="1"/>
  <c r="J538" i="11"/>
  <c r="L538" i="11"/>
  <c r="N539" i="11"/>
  <c r="M540" i="11"/>
  <c r="K539" i="11" l="1"/>
  <c r="J539" i="11"/>
  <c r="L539" i="11"/>
  <c r="N540" i="11"/>
  <c r="M541" i="11"/>
  <c r="K540" i="11" l="1"/>
  <c r="J540" i="11"/>
  <c r="L540" i="11"/>
  <c r="N541" i="11"/>
  <c r="M542" i="11"/>
  <c r="N542" i="11" l="1"/>
  <c r="M543" i="11"/>
  <c r="K541" i="11"/>
  <c r="L541" i="11"/>
  <c r="J541" i="11"/>
  <c r="N543" i="11" l="1"/>
  <c r="M544" i="11"/>
  <c r="K542" i="11"/>
  <c r="J542" i="11"/>
  <c r="L542" i="11"/>
  <c r="N544" i="11" l="1"/>
  <c r="M545" i="11"/>
  <c r="K543" i="11"/>
  <c r="J543" i="11"/>
  <c r="L543" i="11"/>
  <c r="N545" i="11" l="1"/>
  <c r="M546" i="11"/>
  <c r="K544" i="11"/>
  <c r="J544" i="11"/>
  <c r="L544" i="11"/>
  <c r="N546" i="11" l="1"/>
  <c r="M547" i="11"/>
  <c r="K545" i="11"/>
  <c r="J545" i="11"/>
  <c r="L545" i="11"/>
  <c r="M548" i="11" l="1"/>
  <c r="N547" i="11"/>
  <c r="K546" i="11"/>
  <c r="J546" i="11"/>
  <c r="L546" i="11"/>
  <c r="K547" i="11" l="1"/>
  <c r="J547" i="11"/>
  <c r="L547" i="11"/>
  <c r="N548" i="11"/>
  <c r="M549" i="11"/>
  <c r="N549" i="11" l="1"/>
  <c r="M550" i="11"/>
  <c r="J548" i="11"/>
  <c r="L548" i="11"/>
  <c r="K548" i="11"/>
  <c r="N550" i="11" l="1"/>
  <c r="M551" i="11"/>
  <c r="K549" i="11"/>
  <c r="J549" i="11"/>
  <c r="L549" i="11"/>
  <c r="M552" i="11" l="1"/>
  <c r="N551" i="11"/>
  <c r="K550" i="11"/>
  <c r="J550" i="11"/>
  <c r="L550" i="11"/>
  <c r="K551" i="11" l="1"/>
  <c r="J551" i="11"/>
  <c r="L551" i="11"/>
  <c r="N552" i="11"/>
  <c r="M553" i="11"/>
  <c r="N553" i="11" l="1"/>
  <c r="M554" i="11"/>
  <c r="K552" i="11"/>
  <c r="J552" i="11"/>
  <c r="L552" i="11"/>
  <c r="M555" i="11" l="1"/>
  <c r="N554" i="11"/>
  <c r="K553" i="11"/>
  <c r="J553" i="11"/>
  <c r="L553" i="11"/>
  <c r="K554" i="11" l="1"/>
  <c r="J554" i="11"/>
  <c r="L554" i="11"/>
  <c r="N555" i="11"/>
  <c r="M556" i="11"/>
  <c r="N556" i="11" l="1"/>
  <c r="M557" i="11"/>
  <c r="K555" i="11"/>
  <c r="J555" i="11"/>
  <c r="L555" i="11"/>
  <c r="N557" i="11" l="1"/>
  <c r="M558" i="11"/>
  <c r="K556" i="11"/>
  <c r="J556" i="11"/>
  <c r="L556" i="11"/>
  <c r="K557" i="11" l="1"/>
  <c r="J557" i="11"/>
  <c r="L557" i="11"/>
  <c r="N558" i="11"/>
  <c r="M559" i="11"/>
  <c r="N559" i="11" l="1"/>
  <c r="M560" i="11"/>
  <c r="K558" i="11"/>
  <c r="J558" i="11"/>
  <c r="L558" i="11"/>
  <c r="N560" i="11" l="1"/>
  <c r="M561" i="11"/>
  <c r="K559" i="11"/>
  <c r="J559" i="11"/>
  <c r="L559" i="11"/>
  <c r="N561" i="11" l="1"/>
  <c r="M562" i="11"/>
  <c r="K560" i="11"/>
  <c r="J560" i="11"/>
  <c r="L560" i="11"/>
  <c r="N562" i="11" l="1"/>
  <c r="M563" i="11"/>
  <c r="J561" i="11"/>
  <c r="L561" i="11"/>
  <c r="K561" i="11"/>
  <c r="N563" i="11" l="1"/>
  <c r="M564" i="11"/>
  <c r="J562" i="11"/>
  <c r="L562" i="11"/>
  <c r="K562" i="11"/>
  <c r="N564" i="11" l="1"/>
  <c r="M565" i="11"/>
  <c r="K563" i="11"/>
  <c r="J563" i="11"/>
  <c r="L563" i="11"/>
  <c r="M566" i="11" l="1"/>
  <c r="N565" i="11"/>
  <c r="K564" i="11"/>
  <c r="J564" i="11"/>
  <c r="L564" i="11"/>
  <c r="K565" i="11" l="1"/>
  <c r="J565" i="11"/>
  <c r="L565" i="11"/>
  <c r="M567" i="11"/>
  <c r="N566" i="11"/>
  <c r="K566" i="11" l="1"/>
  <c r="J566" i="11"/>
  <c r="L566" i="11"/>
  <c r="M568" i="11"/>
  <c r="N567" i="11"/>
  <c r="F65" i="11"/>
  <c r="F87" i="11"/>
  <c r="E65" i="11"/>
  <c r="L567" i="11" l="1"/>
  <c r="J567" i="11"/>
  <c r="K567" i="11"/>
  <c r="N568" i="11"/>
  <c r="M569" i="11"/>
  <c r="N569" i="11" l="1"/>
  <c r="M570" i="11"/>
  <c r="L568" i="11"/>
  <c r="J568" i="11"/>
  <c r="K568" i="11"/>
  <c r="N570" i="11" l="1"/>
  <c r="M571" i="11"/>
  <c r="K569" i="11"/>
  <c r="J569" i="11"/>
  <c r="L569" i="11"/>
  <c r="M572" i="11" l="1"/>
  <c r="N571" i="11"/>
  <c r="K570" i="11"/>
  <c r="J570" i="11"/>
  <c r="L570" i="11"/>
  <c r="K571" i="11" l="1"/>
  <c r="L571" i="11"/>
  <c r="J571" i="11"/>
  <c r="M573" i="11"/>
  <c r="N572" i="11"/>
  <c r="L572" i="11" l="1"/>
  <c r="K572" i="11"/>
  <c r="J572" i="11"/>
  <c r="N573" i="11"/>
  <c r="M574" i="11"/>
  <c r="N574" i="11" l="1"/>
  <c r="M575" i="11"/>
  <c r="K573" i="11"/>
  <c r="J573" i="11"/>
  <c r="L573" i="11"/>
  <c r="M576" i="11" l="1"/>
  <c r="N575" i="11"/>
  <c r="K574" i="11"/>
  <c r="J574" i="11"/>
  <c r="L574" i="11"/>
  <c r="K575" i="11" l="1"/>
  <c r="J575" i="11"/>
  <c r="L575" i="11"/>
  <c r="N576" i="11"/>
  <c r="M577" i="11"/>
  <c r="M578" i="11" l="1"/>
  <c r="N577" i="11"/>
  <c r="L576" i="11"/>
  <c r="J576" i="11"/>
  <c r="K576" i="11"/>
  <c r="K577" i="11" l="1"/>
  <c r="J577" i="11"/>
  <c r="L577" i="11"/>
  <c r="N578" i="11"/>
  <c r="M579" i="11"/>
  <c r="M580" i="11" l="1"/>
  <c r="N579" i="11"/>
  <c r="K578" i="11"/>
  <c r="J578" i="11"/>
  <c r="L578" i="11"/>
  <c r="N580" i="11" l="1"/>
  <c r="M581" i="11"/>
  <c r="K579" i="11"/>
  <c r="J579" i="11"/>
  <c r="L579" i="11"/>
  <c r="N581" i="11" l="1"/>
  <c r="M582" i="11"/>
  <c r="L580" i="11"/>
  <c r="J580" i="11"/>
  <c r="K580" i="11"/>
  <c r="N582" i="11" l="1"/>
  <c r="M583" i="11"/>
  <c r="K581" i="11"/>
  <c r="J581" i="11"/>
  <c r="L581" i="11"/>
  <c r="K582" i="11" l="1"/>
  <c r="L582" i="11"/>
  <c r="J582" i="11"/>
  <c r="M584" i="11"/>
  <c r="N583" i="11"/>
  <c r="L583" i="11" l="1"/>
  <c r="J583" i="11"/>
  <c r="K583" i="11"/>
  <c r="N584" i="11"/>
  <c r="M585" i="11"/>
  <c r="M586" i="11" l="1"/>
  <c r="N585" i="11"/>
  <c r="L584" i="11"/>
  <c r="J584" i="11"/>
  <c r="K584" i="11"/>
  <c r="K585" i="11" l="1"/>
  <c r="J585" i="11"/>
  <c r="L585" i="11"/>
  <c r="M587" i="11"/>
  <c r="N586" i="11"/>
  <c r="K586" i="11" l="1"/>
  <c r="J586" i="11"/>
  <c r="L586" i="11"/>
  <c r="M588" i="11"/>
  <c r="N587" i="11"/>
  <c r="L587" i="11" l="1"/>
  <c r="J587" i="11"/>
  <c r="K587" i="11"/>
  <c r="N588" i="11"/>
  <c r="M589" i="11"/>
  <c r="M590" i="11" l="1"/>
  <c r="N589" i="11"/>
  <c r="J588" i="11"/>
  <c r="L588" i="11"/>
  <c r="K588" i="11"/>
  <c r="K589" i="11" l="1"/>
  <c r="J589" i="11"/>
  <c r="L589" i="11"/>
  <c r="N590" i="11"/>
  <c r="M591" i="11"/>
  <c r="M592" i="11" l="1"/>
  <c r="N591" i="11"/>
  <c r="K590" i="11"/>
  <c r="J590" i="11"/>
  <c r="L590" i="11"/>
  <c r="K591" i="11" l="1"/>
  <c r="L591" i="11"/>
  <c r="J591" i="11"/>
  <c r="M593" i="11"/>
  <c r="N592" i="11"/>
  <c r="L592" i="11" l="1"/>
  <c r="J592" i="11"/>
  <c r="K592" i="11"/>
  <c r="N593" i="11"/>
  <c r="M594" i="11"/>
  <c r="N594" i="11" l="1"/>
  <c r="M595" i="11"/>
  <c r="K593" i="11"/>
  <c r="J593" i="11"/>
  <c r="L593" i="11"/>
  <c r="M596" i="11" l="1"/>
  <c r="N595" i="11"/>
  <c r="K594" i="11"/>
  <c r="J594" i="11"/>
  <c r="L594" i="11"/>
  <c r="K595" i="11" l="1"/>
  <c r="L595" i="11"/>
  <c r="J595" i="11"/>
  <c r="N596" i="11"/>
  <c r="M597" i="11"/>
  <c r="M598" i="11" l="1"/>
  <c r="N597" i="11"/>
  <c r="L596" i="11"/>
  <c r="J596" i="11"/>
  <c r="K596" i="11"/>
  <c r="K597" i="11" l="1"/>
  <c r="J597" i="11"/>
  <c r="L597" i="11"/>
  <c r="M599" i="11"/>
  <c r="N598" i="11"/>
  <c r="K598" i="11" l="1"/>
  <c r="J598" i="11"/>
  <c r="L598" i="11"/>
  <c r="M600" i="11"/>
  <c r="N599" i="11"/>
  <c r="L599" i="11" l="1"/>
  <c r="K599" i="11"/>
  <c r="J599" i="11"/>
  <c r="N600" i="11"/>
  <c r="M601" i="11"/>
  <c r="N601" i="11" l="1"/>
  <c r="M602" i="11"/>
  <c r="L600" i="11"/>
  <c r="J600" i="11"/>
  <c r="K600" i="11"/>
  <c r="N602" i="11" l="1"/>
  <c r="M603" i="11"/>
  <c r="K601" i="11"/>
  <c r="J601" i="11"/>
  <c r="L601" i="11"/>
  <c r="N603" i="11" l="1"/>
  <c r="M604" i="11"/>
  <c r="K602" i="11"/>
  <c r="E109" i="11" s="1"/>
  <c r="J602" i="11"/>
  <c r="L602" i="11"/>
  <c r="F109" i="11" s="1"/>
  <c r="N604" i="11" l="1"/>
  <c r="M605" i="11"/>
  <c r="L603" i="11"/>
  <c r="J603" i="11"/>
  <c r="K603" i="11"/>
  <c r="N605" i="11" l="1"/>
  <c r="M606" i="11"/>
  <c r="L604" i="11"/>
  <c r="J604" i="11"/>
  <c r="K604" i="11"/>
  <c r="N606" i="11" l="1"/>
  <c r="M607" i="11"/>
  <c r="K605" i="11"/>
  <c r="J605" i="11"/>
  <c r="L605" i="11"/>
  <c r="M608" i="11" l="1"/>
  <c r="N607" i="11"/>
  <c r="J606" i="11"/>
  <c r="L606" i="11"/>
  <c r="K606" i="11"/>
  <c r="J607" i="11" l="1"/>
  <c r="L607" i="11"/>
  <c r="K607" i="11"/>
  <c r="M609" i="11"/>
  <c r="N608" i="11"/>
  <c r="L608" i="11" l="1"/>
  <c r="J608" i="11"/>
  <c r="K608" i="11"/>
  <c r="M610" i="11"/>
  <c r="N609" i="11"/>
  <c r="J609" i="11" l="1"/>
  <c r="L609" i="11"/>
  <c r="K609" i="11"/>
  <c r="N610" i="11"/>
  <c r="M611" i="11"/>
  <c r="M612" i="11" l="1"/>
  <c r="N611" i="11"/>
  <c r="J610" i="11"/>
  <c r="K610" i="11"/>
  <c r="L610" i="11"/>
  <c r="L611" i="11" l="1"/>
  <c r="J611" i="11"/>
  <c r="K611" i="11"/>
  <c r="N612" i="11"/>
  <c r="M613" i="11"/>
  <c r="M614" i="11" l="1"/>
  <c r="N613" i="11"/>
  <c r="J612" i="11"/>
  <c r="L612" i="11"/>
  <c r="K612" i="11"/>
  <c r="J613" i="11" l="1"/>
  <c r="K613" i="11"/>
  <c r="L613" i="11"/>
  <c r="M615" i="11"/>
  <c r="N614" i="11"/>
  <c r="J614" i="11" l="1"/>
  <c r="K614" i="11"/>
  <c r="L614" i="11"/>
  <c r="N615" i="11"/>
  <c r="M616" i="11"/>
  <c r="L615" i="11" l="1"/>
  <c r="K615" i="11"/>
  <c r="J615" i="11"/>
  <c r="M617" i="11"/>
  <c r="N616" i="11"/>
  <c r="J616" i="11" l="1"/>
  <c r="K616" i="11"/>
  <c r="L616" i="11"/>
  <c r="M618" i="11"/>
  <c r="N617" i="11"/>
  <c r="M619" i="11" l="1"/>
  <c r="N618" i="11"/>
  <c r="J617" i="11"/>
  <c r="K617" i="11"/>
  <c r="L617" i="11"/>
  <c r="J618" i="11" l="1"/>
  <c r="L618" i="11"/>
  <c r="K618" i="11"/>
  <c r="N619" i="11"/>
  <c r="M620" i="11"/>
  <c r="N620" i="11" l="1"/>
  <c r="M621" i="11"/>
  <c r="J619" i="11"/>
  <c r="K619" i="11"/>
  <c r="L619" i="11"/>
  <c r="N621" i="11" l="1"/>
  <c r="M622" i="11"/>
  <c r="K620" i="11"/>
  <c r="J620" i="11"/>
  <c r="L620" i="11"/>
  <c r="N622" i="11" l="1"/>
  <c r="M623" i="11"/>
  <c r="J621" i="11"/>
  <c r="L621" i="11"/>
  <c r="K621" i="11"/>
  <c r="M624" i="11" l="1"/>
  <c r="N623" i="11"/>
  <c r="K622" i="11"/>
  <c r="J622" i="11"/>
  <c r="L622" i="11"/>
  <c r="J623" i="11" l="1"/>
  <c r="K623" i="11"/>
  <c r="L623" i="11"/>
  <c r="N624" i="11"/>
  <c r="M625" i="11"/>
  <c r="K624" i="11" l="1"/>
  <c r="J624" i="11"/>
  <c r="L624" i="11"/>
  <c r="N625" i="11"/>
  <c r="M626" i="11"/>
  <c r="N626" i="11" l="1"/>
  <c r="M627" i="11"/>
  <c r="J625" i="11"/>
  <c r="K625" i="11"/>
  <c r="L625" i="11"/>
  <c r="N627" i="11" l="1"/>
  <c r="M628" i="11"/>
  <c r="K626" i="11"/>
  <c r="J626" i="11"/>
  <c r="L626" i="11"/>
  <c r="N628" i="11" l="1"/>
  <c r="M629" i="11"/>
  <c r="J627" i="11"/>
  <c r="K627" i="11"/>
  <c r="L627" i="11"/>
  <c r="M630" i="11" l="1"/>
  <c r="N629" i="11"/>
  <c r="K628" i="11"/>
  <c r="J628" i="11"/>
  <c r="L628" i="11"/>
  <c r="J629" i="11" l="1"/>
  <c r="K629" i="11"/>
  <c r="L629" i="11"/>
  <c r="N630" i="11"/>
  <c r="M631" i="11"/>
  <c r="K630" i="11" l="1"/>
  <c r="J630" i="11"/>
  <c r="L630" i="11"/>
  <c r="N631" i="11"/>
  <c r="M632" i="11"/>
  <c r="N632" i="11" l="1"/>
  <c r="M633" i="11"/>
  <c r="J631" i="11"/>
  <c r="K631" i="11"/>
  <c r="L631" i="11"/>
  <c r="N633" i="11" l="1"/>
  <c r="M634" i="11"/>
  <c r="K632" i="11"/>
  <c r="J632" i="11"/>
  <c r="L632" i="11"/>
  <c r="N634" i="11" l="1"/>
  <c r="M635" i="11"/>
  <c r="J633" i="11"/>
  <c r="K633" i="11"/>
  <c r="L633" i="11"/>
  <c r="M636" i="11" l="1"/>
  <c r="N635" i="11"/>
  <c r="K634" i="11"/>
  <c r="J634" i="11"/>
  <c r="L634" i="11"/>
  <c r="N636" i="11" l="1"/>
  <c r="M637" i="11"/>
  <c r="K635" i="11"/>
  <c r="J635" i="11"/>
  <c r="L635" i="11"/>
  <c r="M638" i="11" l="1"/>
  <c r="N637" i="11"/>
  <c r="J636" i="11"/>
  <c r="K636" i="11"/>
  <c r="L636" i="11"/>
  <c r="K637" i="11" l="1"/>
  <c r="J637" i="11"/>
  <c r="L637" i="11"/>
  <c r="N638" i="11"/>
  <c r="M639" i="11"/>
  <c r="N639" i="11" s="1"/>
  <c r="K639" i="11" l="1"/>
  <c r="L639" i="11"/>
  <c r="J639" i="11"/>
  <c r="D109" i="11"/>
  <c r="L638" i="11"/>
  <c r="K638" i="11"/>
  <c r="J638" i="11"/>
</calcChain>
</file>

<file path=xl/comments1.xml><?xml version="1.0" encoding="utf-8"?>
<comments xmlns="http://schemas.openxmlformats.org/spreadsheetml/2006/main">
  <authors>
    <author>Laura Gardner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Areas that are neither in the MS4 nor the CSS should be treated as if they are in the MS4.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Definition:</t>
        </r>
        <r>
          <rPr>
            <sz val="9"/>
            <color indexed="81"/>
            <rFont val="Tahoma"/>
            <family val="2"/>
          </rPr>
          <t xml:space="preserve">
A major land disturbing activity is a distinct project or part of a common plan of development that disturbs 5,000 square feet or greater or land area and either of the following:
● Any portion of the pre-project land cover is natural, or 
● 2,500 square feet or greater of the post-project land cover is impervious and/or BMP area.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 xml:space="preserve">Definition:
</t>
        </r>
        <r>
          <rPr>
            <sz val="9"/>
            <color indexed="81"/>
            <rFont val="Tahoma"/>
            <family val="2"/>
          </rPr>
          <t>A major substantial improvement is a renovation or addition to a structure that exceeds both of the following cost and size thresholds:
• Construction costs for building renovation/addition are greater than or equal to 50% of the pre-project assessed value of the structure.
• Combined footprint of structure(s) exceeding the cost threshold and any land disturbance are greater than or equal to 5,000 square feet.
And must meet either of the following:
• Any portion of the pre-project land cover is natural, or
• 2,500 square feet or greater of the post-project land cover is impervious and/or BMP area</t>
        </r>
      </text>
    </comment>
  </commentList>
</comments>
</file>

<file path=xl/sharedStrings.xml><?xml version="1.0" encoding="utf-8"?>
<sst xmlns="http://schemas.openxmlformats.org/spreadsheetml/2006/main" count="4192" uniqueCount="259">
  <si>
    <t>data input cells</t>
  </si>
  <si>
    <t>calculation cells</t>
  </si>
  <si>
    <t>constant values</t>
  </si>
  <si>
    <t>Totals</t>
  </si>
  <si>
    <t>Site Name:</t>
  </si>
  <si>
    <t>Site Data</t>
  </si>
  <si>
    <t>Target Rainfall Event (in)</t>
  </si>
  <si>
    <t>Weighted CN</t>
  </si>
  <si>
    <t>CN</t>
  </si>
  <si>
    <t>S</t>
  </si>
  <si>
    <t>Land Cover Type</t>
  </si>
  <si>
    <t>N/A</t>
  </si>
  <si>
    <t>Rv Coefficients</t>
  </si>
  <si>
    <t>Impervious Cover</t>
  </si>
  <si>
    <t>Land Cover Summary</t>
  </si>
  <si>
    <t>Site Rv</t>
  </si>
  <si>
    <t>No</t>
  </si>
  <si>
    <t>Downstream Options</t>
  </si>
  <si>
    <t>2-year storm</t>
  </si>
  <si>
    <t>Site Information</t>
  </si>
  <si>
    <t>Rv</t>
  </si>
  <si>
    <t>15-year storm</t>
  </si>
  <si>
    <t>% Natural Cover</t>
  </si>
  <si>
    <t>% Impervious Cover</t>
  </si>
  <si>
    <t>Natural Cover</t>
  </si>
  <si>
    <t>Downstream Runoff</t>
  </si>
  <si>
    <t>Land Area</t>
  </si>
  <si>
    <t>Soils</t>
  </si>
  <si>
    <t>Adjusted CN</t>
  </si>
  <si>
    <t>Yes</t>
  </si>
  <si>
    <t>Compacted Cover</t>
  </si>
  <si>
    <t>Cover Type</t>
  </si>
  <si>
    <t>Subtract 100% of the Sv - the volume stored in the green roof filter media and storage layers.</t>
  </si>
  <si>
    <t>Reduce volume conveyed to grass area by 2.0 cu. ft. per 100 sq. ft. of pervious area.</t>
  </si>
  <si>
    <t>Reduce volume conveyed to conservation area by 6.0 cu. ft. per 100 sq. ft. of conservation area.</t>
  </si>
  <si>
    <t>Reduce volume conveyed to filter path by 4.0 cu. ft. per 100 sq. ft. of filter area.</t>
  </si>
  <si>
    <t>D2 Simple Disconnection to a Conservation Area</t>
  </si>
  <si>
    <t>D3 Simple Disconnection to Amended Soils</t>
  </si>
  <si>
    <t>Subtract 100% of the Sv - the volume stored in the permeable pavement reservoir layer.</t>
  </si>
  <si>
    <t>I1-2 Stormwater Infiltration</t>
  </si>
  <si>
    <t>O2 Dry Swale</t>
  </si>
  <si>
    <t>Reduce volume (Sv) conveyed through grass channel by 10%.</t>
  </si>
  <si>
    <t>Reduce volume (Sv) conveyed through grass channel by 30%.</t>
  </si>
  <si>
    <t>No retention credit.</t>
  </si>
  <si>
    <t>R1 Rainwater Harvesting</t>
  </si>
  <si>
    <t>O3 Wet Swale</t>
  </si>
  <si>
    <t>PP1 Proprietary Practice</t>
  </si>
  <si>
    <t>Stormwater Retention Volume, SWRv (cubic feet)</t>
  </si>
  <si>
    <t>Volume Retained (cubic feet)</t>
  </si>
  <si>
    <t>Retention Volume Remaining (cubic feet)</t>
  </si>
  <si>
    <t>B1-5 Bioretention - Enhanced</t>
  </si>
  <si>
    <t>B1-5 Bioretention - Standard</t>
  </si>
  <si>
    <t>Area (square feet)</t>
  </si>
  <si>
    <t>100-year storm</t>
  </si>
  <si>
    <t>Type of Cover</t>
  </si>
  <si>
    <t>Site Total</t>
  </si>
  <si>
    <t>O1 Grass Channel</t>
  </si>
  <si>
    <t>O1 Grass Channel with Amended Soils</t>
  </si>
  <si>
    <t>P1-3 Stormwater Ponds</t>
  </si>
  <si>
    <t>W1-2 Wetlands</t>
  </si>
  <si>
    <t>S1-3 Storage</t>
  </si>
  <si>
    <t>Area (sf)</t>
  </si>
  <si>
    <t>Drainage Area Total</t>
  </si>
  <si>
    <t>Site Compliance Calculations</t>
  </si>
  <si>
    <t>At least 50% of SWRv Retained?</t>
  </si>
  <si>
    <t>50% of SWRv Retained?</t>
  </si>
  <si>
    <t>Natural Cover (square feet)</t>
  </si>
  <si>
    <t>Compacted Cover (square feet)</t>
  </si>
  <si>
    <t>Impervious Cover (square feet)</t>
  </si>
  <si>
    <t>Total Area (square feet)</t>
  </si>
  <si>
    <t>SWRv (cubic feet)</t>
  </si>
  <si>
    <t>BMPs</t>
  </si>
  <si>
    <t>Storage Volume Provided By BMPs (cf)</t>
  </si>
  <si>
    <t>BMP</t>
  </si>
  <si>
    <t>Stormwater Retention Volume, SWRv (gallons)</t>
  </si>
  <si>
    <t>Description of Retention Value</t>
  </si>
  <si>
    <t>% Retention Value</t>
  </si>
  <si>
    <t>20 cf credit per tree</t>
  </si>
  <si>
    <t>10 cf credit per tree</t>
  </si>
  <si>
    <t>Retention Volume Remaining (gallons)</t>
  </si>
  <si>
    <t>Treatment Required?</t>
  </si>
  <si>
    <t>Volume Treated (cubic feet)</t>
  </si>
  <si>
    <t>Storage Volume Provided By BMPs (gallons)</t>
  </si>
  <si>
    <t>AWDZ Only</t>
  </si>
  <si>
    <t>Minimum Requirements for Drainage Area Met?</t>
  </si>
  <si>
    <t>Major Land Disturbing</t>
  </si>
  <si>
    <t>Major Substantial Improvement</t>
  </si>
  <si>
    <t>Public Right of Way</t>
  </si>
  <si>
    <t>WQTv (cubic feet)</t>
  </si>
  <si>
    <t>At least 50% of SWRv for the Site Retained?</t>
  </si>
  <si>
    <t>Channel and Flood Protection Calculations</t>
  </si>
  <si>
    <t>Water Quality Treatment Volume, WQTv (cubic feet)</t>
  </si>
  <si>
    <t>AWDZ only - Regulatory Rain Event for WQTv (inches)</t>
  </si>
  <si>
    <t>Water Quality Treatment Volume, WQTv (gallons)</t>
  </si>
  <si>
    <t>Site Development</t>
  </si>
  <si>
    <t>% Compacted Cover</t>
  </si>
  <si>
    <t>SWRv and WQTv Summary</t>
  </si>
  <si>
    <t>Site Retention Volume Remaining (cubic feet)</t>
  </si>
  <si>
    <t>Site Retention Volume Remaining (gallons)</t>
  </si>
  <si>
    <t>Site Treatment Volume Remaining (cubic feet)</t>
  </si>
  <si>
    <t>Site Treatment Volume Remaining (gallons)</t>
  </si>
  <si>
    <t>Total Volume Treated (cubic feet)</t>
  </si>
  <si>
    <t>F1-4 Stormwater Filtering Systems</t>
  </si>
  <si>
    <t>v (in)</t>
  </si>
  <si>
    <t>P1-3 Permeable Pavement - Standard</t>
  </si>
  <si>
    <t>P1-3 Permeable Pavement - Enhanced</t>
  </si>
  <si>
    <t>Subtract 10% of the Sv - the calculated storage volume for the practice.</t>
  </si>
  <si>
    <t>Required Off-Site Retention Volume (Offv) (gallons)*</t>
  </si>
  <si>
    <t>*Offv must be achieved on an ongoing basis through use of in lieu fee or Stormwater Retention Credits (SRCs)</t>
  </si>
  <si>
    <t>Total Volume Retained On Site (cubic feet)</t>
  </si>
  <si>
    <t>Excess Volume That May be Eligible for SRCs (gallons)</t>
  </si>
  <si>
    <t>Volume Retained On Site (cubic feet)</t>
  </si>
  <si>
    <t xml:space="preserve">Vehicular Access Areas* </t>
  </si>
  <si>
    <t>Runoff from Vehicular Access Areas Sufficiently Retained or Treated?</t>
  </si>
  <si>
    <t>Vehicular Access Volume (cubic feet)</t>
  </si>
  <si>
    <t>Vehicular Access Volume Addressed?</t>
  </si>
  <si>
    <t>Vehicular Access Areas Volume Addressed?</t>
  </si>
  <si>
    <t>Area 
(square feet)</t>
  </si>
  <si>
    <t>Volume 
(cubic feet)</t>
  </si>
  <si>
    <t>Retention Value 
(cubic feet)</t>
  </si>
  <si>
    <t>Potential Retention Volume Remaining 
(cubic feet)</t>
  </si>
  <si>
    <t>Additional Treatment Volume 
(cubic feet)</t>
  </si>
  <si>
    <t>Volume Remaining to Treat 50% of the SWRv (cubic feet)</t>
  </si>
  <si>
    <t>Volume Remaining to Treat 50% of the SWRv (gallons)</t>
  </si>
  <si>
    <t>Volume Remaining to Treat WQTv (cubic feet)</t>
  </si>
  <si>
    <t>Volume Remaining to Treat WQTv (gallons)</t>
  </si>
  <si>
    <t>Downstream BMP</t>
  </si>
  <si>
    <t>Maximum Retention Volume Received by BMP
(cubic feet)</t>
  </si>
  <si>
    <t>Maximum Retention Volume Received from Upstream BMPs 
(cubic feet)</t>
  </si>
  <si>
    <t>Maximum Retention Volume To BMP 
(cubic feet)</t>
  </si>
  <si>
    <t>Surface Area of BMP
(square feet)</t>
  </si>
  <si>
    <t>Storage Volume Provided by BMP
(cubic feet)</t>
  </si>
  <si>
    <t>Subtract 100% of the Sv - the calculated storage volume for the BMP.</t>
  </si>
  <si>
    <t>Subtract 60% of the Sv - the calculated storage volume for the BMP.</t>
  </si>
  <si>
    <t>Subtract 10% of the Sv - the calculated storage volume for the BMP.</t>
  </si>
  <si>
    <t>Subtract a variable % of the Sv depending on the BMP.</t>
  </si>
  <si>
    <t>Volume Treated by practice (cf)</t>
  </si>
  <si>
    <t>Lookup Table for Curve Numbers</t>
  </si>
  <si>
    <t>Impervious Cover Draining to BMP</t>
  </si>
  <si>
    <t>Vehicular Access Area Draining to BMP</t>
  </si>
  <si>
    <t>Pervious Cover Draining to BMP</t>
  </si>
  <si>
    <t>Is Site an "AWDZ Site"?</t>
  </si>
  <si>
    <t>District of Columbia General Retention Compliance Calculator</t>
  </si>
  <si>
    <t>BMP (square feet)</t>
  </si>
  <si>
    <t>Impervious Cover and BMPs</t>
  </si>
  <si>
    <t>Subtract 100% of the Sv - the available storage in the cistern (based on cistern storage and reuse rate).</t>
  </si>
  <si>
    <t>Site Drainage Area 1</t>
  </si>
  <si>
    <t>Site Drainage Area 2</t>
  </si>
  <si>
    <t>Site Drainage Area 3</t>
  </si>
  <si>
    <t>Site Drainage Area 4</t>
  </si>
  <si>
    <t>Site Drainage Area 5</t>
  </si>
  <si>
    <t>Site Drainage Area 6</t>
  </si>
  <si>
    <t>Site Drainage Area 7</t>
  </si>
  <si>
    <t>Site Drainage Area 8</t>
  </si>
  <si>
    <t>Site Drainage Area 9</t>
  </si>
  <si>
    <t>Site Drainage Area 10</t>
  </si>
  <si>
    <t>Overall Site Compliance</t>
  </si>
  <si>
    <t>SDA 1</t>
  </si>
  <si>
    <t>SDA 2</t>
  </si>
  <si>
    <t>SDA 3</t>
  </si>
  <si>
    <t>SDA 4</t>
  </si>
  <si>
    <t>SDA 5</t>
  </si>
  <si>
    <t>SDA 6</t>
  </si>
  <si>
    <t>SDA 7</t>
  </si>
  <si>
    <t>SDA 8</t>
  </si>
  <si>
    <t>SDA 9</t>
  </si>
  <si>
    <t>SDA 10</t>
  </si>
  <si>
    <t>AWDZ (Anacostia Waterfront Development Zone)</t>
  </si>
  <si>
    <t>●</t>
  </si>
  <si>
    <t>Large Scale Map</t>
  </si>
  <si>
    <t>SWRv and WQTv</t>
  </si>
  <si>
    <t>Description in Section 2.1</t>
  </si>
  <si>
    <t>Definitions and examples in Section 2.2</t>
  </si>
  <si>
    <t>Equations in Table 2.1</t>
  </si>
  <si>
    <t>Land Cover Designations</t>
  </si>
  <si>
    <t>Definition can be found in Appendix N</t>
  </si>
  <si>
    <t>Public Right of Way (PROW)</t>
  </si>
  <si>
    <t>Definition can be found in Appendix B</t>
  </si>
  <si>
    <t>Chapter 3 contains the BMP specifications</t>
  </si>
  <si>
    <t>Rainwater Harvesting Retention Calculator</t>
  </si>
  <si>
    <t>Detention requirements are outlined in Chapter 2</t>
  </si>
  <si>
    <t>Hydrological methods and models are found in Appendix H</t>
  </si>
  <si>
    <t>Flow charts in Chapter 2 to help determine compliance</t>
  </si>
  <si>
    <t>Site Data tab</t>
  </si>
  <si>
    <t>SDA (Site Drainage Area) tabs</t>
  </si>
  <si>
    <t>Compliance tab</t>
  </si>
  <si>
    <t>Channel and Flood Protection tab</t>
  </si>
  <si>
    <t>Reference Information from Stormwater Management Guidebook</t>
  </si>
  <si>
    <t>Disturbed Public Right of Way</t>
  </si>
  <si>
    <t>Retention Standard for SWRv (inches)</t>
  </si>
  <si>
    <t>Regulated Site Activity Definitions</t>
  </si>
  <si>
    <t>Reduce volume conveyed through permeable pavement by 5.0 cu. ft. per 100 sq. ft. of permeable pavement.</t>
  </si>
  <si>
    <t>D1 (A/B) Simple Disconnection to a Pervious Area</t>
  </si>
  <si>
    <t>D1 (C/D) Simple Disconnection to a Pervious Area</t>
  </si>
  <si>
    <t>Reduce volume conveyed to grass area by 4.0 cu. ft. per 100 sq. ft. of pervious area.</t>
  </si>
  <si>
    <t>Number of Small Trees Preserved</t>
  </si>
  <si>
    <t>Number of Large Trees Preserved</t>
  </si>
  <si>
    <t>Number of Special or HeritageTrees Preserved</t>
  </si>
  <si>
    <t>Number of Small Trees Planted</t>
  </si>
  <si>
    <t>Number of Large Trees Planted</t>
  </si>
  <si>
    <t>40 cf credit per tree</t>
  </si>
  <si>
    <t>5 cf credit per tree</t>
  </si>
  <si>
    <t>Definition can be found in Appendix W</t>
  </si>
  <si>
    <t>MS4</t>
  </si>
  <si>
    <t>Is Site Located in the MS4, CSS w/ GI, or CSS w/ tunnels?</t>
  </si>
  <si>
    <t>CSS w/ GI</t>
  </si>
  <si>
    <t>CSS w/ tunnels</t>
  </si>
  <si>
    <t>SDA (square feet)</t>
  </si>
  <si>
    <t xml:space="preserve">SDA 1 </t>
  </si>
  <si>
    <t xml:space="preserve">SDA 2 </t>
  </si>
  <si>
    <t xml:space="preserve">SDA 8 </t>
  </si>
  <si>
    <t>Pre-Development Land Cover Area</t>
  </si>
  <si>
    <t>Post-Development Land Cover Area</t>
  </si>
  <si>
    <t>Runoff (in) with no BMPs</t>
  </si>
  <si>
    <t>Runoff (in) with BMPs</t>
  </si>
  <si>
    <t>Indicate Pre-Project Land Cover</t>
  </si>
  <si>
    <t>Indicate Post-Project Land Cover</t>
  </si>
  <si>
    <t>Post-Project Land Cover Summary</t>
  </si>
  <si>
    <t>Disturbed Site</t>
  </si>
  <si>
    <t>Indicate Pre-Project Land Cover For SDA 1</t>
  </si>
  <si>
    <t>Indicate Post-Project Land Cover For SDA 1</t>
  </si>
  <si>
    <t>C1-3 Stormwater Ponds</t>
  </si>
  <si>
    <t>W1-2 Stormwater Wetlands</t>
  </si>
  <si>
    <t>M1 Proprietary Practices</t>
  </si>
  <si>
    <t>S1-4 Storage Practices</t>
  </si>
  <si>
    <t>T2 Tree Preservation - Small Tree</t>
  </si>
  <si>
    <t>T2 Tree Preservation - Large Tree</t>
  </si>
  <si>
    <t>T2 Tree Preservation - Special/Heritage Tree</t>
  </si>
  <si>
    <t>T1 Tree Planting - Small Tree</t>
  </si>
  <si>
    <t>T1 Tree Planting - Large Tree</t>
  </si>
  <si>
    <t>*Vehicular Access Areas should be included within the Impervious Cover Category</t>
  </si>
  <si>
    <t>Indicate Pre-Project Land Cover For SDA 2</t>
  </si>
  <si>
    <t>Indicate Post-Project Land Cover For SDA 2</t>
  </si>
  <si>
    <t>Indicate Pre-Project Land Cover For SDA 3</t>
  </si>
  <si>
    <t>Indicate Post-Project Land Cover For SDA 3</t>
  </si>
  <si>
    <t>Indicate Pre-Project Land Cover For SDA 4</t>
  </si>
  <si>
    <t>Indicate Post-Project Land Cover For SDA 4</t>
  </si>
  <si>
    <t>Indicate Pre-Project Land Cover For SDA 5</t>
  </si>
  <si>
    <t>Indicate Post-Project Land Cover For SDA 5</t>
  </si>
  <si>
    <t>Indicate Pre-Project Land Cover For SDA 6</t>
  </si>
  <si>
    <t>Indicate Post-Project Land Cover For SDA 6</t>
  </si>
  <si>
    <t>Indicate Pre-Project Land Cover For SDA 7</t>
  </si>
  <si>
    <t>Indicate Post-Project Land Cover For SDA 7</t>
  </si>
  <si>
    <t>Indicate Pre-Project Land Cover For SDA 8</t>
  </si>
  <si>
    <t>Indicate Post-Project Land Cover For SDA 8</t>
  </si>
  <si>
    <t>Indicate Pre-Project Land Cover For SDA 9</t>
  </si>
  <si>
    <t>Indicate Post-Project Land Cover For SDA 9</t>
  </si>
  <si>
    <t>Indicate Pre-Project Land Cover For SDA 10</t>
  </si>
  <si>
    <t>Indicate Post-Project Land Cover For SDA 10</t>
  </si>
  <si>
    <t>Indicate Pre-Project Land Cover For Public ROW</t>
  </si>
  <si>
    <t>Indicate Post-Project Land Cover For Public ROW</t>
  </si>
  <si>
    <t>Based on the use of stormwater BMPs in the various drainage areas, the spreadsheet calculates an adjusted runoff depth and adjusted curve number.</t>
  </si>
  <si>
    <t>Total Site</t>
  </si>
  <si>
    <t>SWMP Number:</t>
  </si>
  <si>
    <t>G1-2 Unirrigated Green Roofs</t>
  </si>
  <si>
    <t>G-2 Irrigated Green Roofs</t>
  </si>
  <si>
    <t>Subtract 50% of the Sv - the volume stored in the green roof filter media and storage layers.</t>
  </si>
  <si>
    <t>Locate Your Sewershed</t>
  </si>
  <si>
    <t>MS4 / CSS 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</si>
</sst>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&quot;$&quot;#,##0"/>
    <numFmt numFmtId="168" formatCode="#,##0.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4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7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2" borderId="0" xfId="0" applyFont="1" applyFill="1" applyProtection="1"/>
    <xf numFmtId="0" fontId="1" fillId="0" borderId="0" xfId="0" applyFont="1" applyProtection="1"/>
    <xf numFmtId="0" fontId="3" fillId="3" borderId="0" xfId="0" applyFont="1" applyFill="1" applyProtection="1"/>
    <xf numFmtId="2" fontId="3" fillId="4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3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2" fontId="0" fillId="0" borderId="0" xfId="0" applyNumberFormat="1" applyFill="1" applyBorder="1" applyProtection="1"/>
    <xf numFmtId="2" fontId="5" fillId="0" borderId="0" xfId="0" applyNumberFormat="1" applyFont="1" applyFill="1" applyBorder="1" applyProtection="1"/>
    <xf numFmtId="1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Protection="1"/>
    <xf numFmtId="0" fontId="0" fillId="0" borderId="0" xfId="0" applyFill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0" xfId="0" applyFont="1" applyFill="1" applyProtection="1"/>
    <xf numFmtId="1" fontId="5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" fontId="0" fillId="0" borderId="0" xfId="0" applyNumberFormat="1" applyBorder="1" applyAlignment="1" applyProtection="1"/>
    <xf numFmtId="43" fontId="0" fillId="0" borderId="0" xfId="0" applyNumberFormat="1" applyBorder="1" applyProtection="1"/>
    <xf numFmtId="0" fontId="0" fillId="0" borderId="0" xfId="0" applyFill="1" applyBorder="1" applyAlignment="1" applyProtection="1"/>
    <xf numFmtId="2" fontId="0" fillId="0" borderId="0" xfId="0" applyNumberFormat="1" applyProtection="1"/>
    <xf numFmtId="0" fontId="0" fillId="0" borderId="1" xfId="0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3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43" fontId="0" fillId="0" borderId="0" xfId="0" applyNumberFormat="1" applyProtection="1"/>
    <xf numFmtId="0" fontId="9" fillId="0" borderId="0" xfId="0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2" fontId="5" fillId="4" borderId="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9" fontId="0" fillId="0" borderId="0" xfId="2" applyFo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/>
    </xf>
    <xf numFmtId="0" fontId="3" fillId="0" borderId="0" xfId="0" applyFont="1" applyFill="1" applyProtection="1"/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vertical="justify" wrapText="1"/>
    </xf>
    <xf numFmtId="0" fontId="0" fillId="0" borderId="0" xfId="0" applyBorder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3" fillId="0" borderId="1" xfId="0" applyFont="1" applyBorder="1" applyProtection="1"/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0" fontId="9" fillId="0" borderId="0" xfId="0" applyFont="1" applyBorder="1" applyAlignment="1" applyProtection="1">
      <alignment horizontal="left" indent="1"/>
    </xf>
    <xf numFmtId="0" fontId="10" fillId="0" borderId="0" xfId="0" applyFont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0" fontId="10" fillId="0" borderId="0" xfId="0" applyFont="1" applyBorder="1" applyProtection="1"/>
    <xf numFmtId="2" fontId="9" fillId="0" borderId="0" xfId="0" applyNumberFormat="1" applyFont="1" applyBorder="1" applyAlignment="1" applyProtection="1">
      <alignment horizontal="left" indent="1"/>
    </xf>
    <xf numFmtId="2" fontId="11" fillId="0" borderId="0" xfId="0" applyNumberFormat="1" applyFont="1" applyBorder="1" applyAlignment="1" applyProtection="1">
      <alignment horizontal="center"/>
    </xf>
    <xf numFmtId="0" fontId="5" fillId="0" borderId="1" xfId="0" applyFont="1" applyBorder="1" applyProtection="1"/>
    <xf numFmtId="164" fontId="5" fillId="3" borderId="1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Protection="1"/>
    <xf numFmtId="9" fontId="5" fillId="3" borderId="1" xfId="2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Protection="1"/>
    <xf numFmtId="3" fontId="3" fillId="3" borderId="1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3" fontId="5" fillId="0" borderId="0" xfId="0" applyNumberFormat="1" applyFont="1" applyProtection="1"/>
    <xf numFmtId="3" fontId="0" fillId="0" borderId="0" xfId="0" applyNumberForma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/>
    <xf numFmtId="1" fontId="3" fillId="0" borderId="0" xfId="0" applyNumberFormat="1" applyFont="1" applyBorder="1" applyAlignment="1" applyProtection="1"/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5" fillId="0" borderId="5" xfId="0" applyFont="1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/>
    <xf numFmtId="3" fontId="0" fillId="0" borderId="0" xfId="2" applyNumberFormat="1" applyFont="1" applyProtection="1"/>
    <xf numFmtId="3" fontId="0" fillId="0" borderId="0" xfId="0" applyNumberFormat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5" fillId="0" borderId="1" xfId="0" applyFont="1" applyFill="1" applyBorder="1" applyAlignment="1" applyProtection="1"/>
    <xf numFmtId="1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Alignment="1" applyProtection="1">
      <alignment wrapText="1"/>
    </xf>
    <xf numFmtId="1" fontId="0" fillId="0" borderId="0" xfId="0" applyNumberFormat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wrapText="1"/>
    </xf>
    <xf numFmtId="167" fontId="3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Protection="1"/>
    <xf numFmtId="0" fontId="4" fillId="0" borderId="0" xfId="0" applyFont="1" applyBorder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3" fontId="0" fillId="0" borderId="0" xfId="0" applyNumberFormat="1" applyAlignment="1" applyProtection="1">
      <alignment wrapText="1"/>
    </xf>
    <xf numFmtId="0" fontId="0" fillId="0" borderId="1" xfId="0" applyBorder="1" applyAlignment="1" applyProtection="1">
      <alignment vertical="center" wrapText="1"/>
    </xf>
    <xf numFmtId="0" fontId="1" fillId="0" borderId="1" xfId="0" applyFont="1" applyBorder="1" applyProtection="1"/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wrapText="1"/>
    </xf>
    <xf numFmtId="1" fontId="5" fillId="0" borderId="0" xfId="0" applyNumberFormat="1" applyFont="1" applyAlignment="1" applyProtection="1">
      <alignment horizontal="center" wrapText="1"/>
    </xf>
    <xf numFmtId="3" fontId="5" fillId="3" borderId="1" xfId="0" applyNumberFormat="1" applyFont="1" applyFill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3" fontId="3" fillId="3" borderId="17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3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/>
    <xf numFmtId="0" fontId="7" fillId="0" borderId="0" xfId="0" applyFont="1" applyAlignment="1" applyProtection="1"/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1" fontId="5" fillId="3" borderId="21" xfId="0" applyNumberFormat="1" applyFont="1" applyFill="1" applyBorder="1" applyAlignment="1" applyProtection="1">
      <alignment horizontal="center"/>
    </xf>
    <xf numFmtId="1" fontId="5" fillId="2" borderId="31" xfId="0" applyNumberFormat="1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3" fontId="3" fillId="5" borderId="1" xfId="1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/>
    <xf numFmtId="3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" fontId="0" fillId="0" borderId="0" xfId="0" applyNumberForma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Protection="1"/>
    <xf numFmtId="3" fontId="5" fillId="0" borderId="0" xfId="0" applyNumberFormat="1" applyFont="1" applyFill="1" applyBorder="1" applyProtection="1"/>
    <xf numFmtId="0" fontId="0" fillId="0" borderId="18" xfId="0" applyFill="1" applyBorder="1" applyProtection="1"/>
    <xf numFmtId="3" fontId="3" fillId="0" borderId="1" xfId="0" applyNumberFormat="1" applyFont="1" applyBorder="1" applyProtection="1"/>
    <xf numFmtId="3" fontId="3" fillId="3" borderId="1" xfId="0" applyNumberFormat="1" applyFont="1" applyFill="1" applyBorder="1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7" borderId="0" xfId="0" applyFill="1" applyBorder="1"/>
    <xf numFmtId="0" fontId="15" fillId="7" borderId="0" xfId="0" applyFont="1" applyFill="1" applyBorder="1"/>
    <xf numFmtId="0" fontId="17" fillId="7" borderId="0" xfId="0" applyFont="1" applyFill="1" applyBorder="1"/>
    <xf numFmtId="0" fontId="16" fillId="7" borderId="0" xfId="0" applyFont="1" applyFill="1" applyBorder="1"/>
    <xf numFmtId="0" fontId="1" fillId="7" borderId="0" xfId="0" applyFont="1" applyFill="1" applyBorder="1"/>
    <xf numFmtId="0" fontId="13" fillId="7" borderId="0" xfId="19" applyFill="1" applyBorder="1"/>
    <xf numFmtId="0" fontId="0" fillId="7" borderId="41" xfId="0" applyFill="1" applyBorder="1"/>
    <xf numFmtId="0" fontId="0" fillId="7" borderId="42" xfId="0" applyFill="1" applyBorder="1"/>
    <xf numFmtId="0" fontId="15" fillId="7" borderId="41" xfId="0" applyFont="1" applyFill="1" applyBorder="1"/>
    <xf numFmtId="0" fontId="0" fillId="7" borderId="37" xfId="0" applyFill="1" applyBorder="1"/>
    <xf numFmtId="0" fontId="0" fillId="7" borderId="23" xfId="0" applyFill="1" applyBorder="1"/>
    <xf numFmtId="0" fontId="0" fillId="7" borderId="36" xfId="0" applyFill="1" applyBorder="1"/>
    <xf numFmtId="0" fontId="3" fillId="0" borderId="1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168" fontId="0" fillId="3" borderId="1" xfId="0" applyNumberForma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0" fillId="0" borderId="0" xfId="0" applyFill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1" fontId="5" fillId="3" borderId="30" xfId="0" applyNumberFormat="1" applyFont="1" applyFill="1" applyBorder="1" applyAlignment="1" applyProtection="1">
      <alignment horizontal="center"/>
    </xf>
    <xf numFmtId="3" fontId="5" fillId="3" borderId="30" xfId="0" applyNumberFormat="1" applyFont="1" applyFill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1" fontId="0" fillId="0" borderId="4" xfId="0" applyNumberFormat="1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3" fillId="0" borderId="37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" fontId="3" fillId="0" borderId="24" xfId="0" applyNumberFormat="1" applyFont="1" applyBorder="1" applyAlignment="1" applyProtection="1">
      <alignment horizontal="center" vertical="center" wrapText="1"/>
    </xf>
    <xf numFmtId="1" fontId="3" fillId="0" borderId="20" xfId="0" applyNumberFormat="1" applyFont="1" applyBorder="1" applyAlignment="1" applyProtection="1">
      <alignment horizontal="center" vertical="center" wrapText="1"/>
    </xf>
    <xf numFmtId="3" fontId="0" fillId="2" borderId="8" xfId="0" applyNumberFormat="1" applyFill="1" applyBorder="1" applyAlignment="1" applyProtection="1">
      <alignment horizontal="center" vertical="center"/>
      <protection locked="0"/>
    </xf>
    <xf numFmtId="3" fontId="0" fillId="2" borderId="12" xfId="0" applyNumberFormat="1" applyFill="1" applyBorder="1" applyAlignment="1" applyProtection="1">
      <alignment horizontal="center" vertical="center"/>
      <protection locked="0"/>
    </xf>
    <xf numFmtId="3" fontId="0" fillId="3" borderId="5" xfId="0" applyNumberFormat="1" applyFill="1" applyBorder="1" applyAlignment="1" applyProtection="1">
      <alignment horizontal="center"/>
    </xf>
    <xf numFmtId="3" fontId="1" fillId="5" borderId="46" xfId="0" applyNumberFormat="1" applyFont="1" applyFill="1" applyBorder="1" applyAlignment="1" applyProtection="1">
      <alignment horizontal="center" vertical="center"/>
    </xf>
    <xf numFmtId="3" fontId="1" fillId="5" borderId="5" xfId="0" applyNumberFormat="1" applyFont="1" applyFill="1" applyBorder="1" applyAlignment="1" applyProtection="1">
      <alignment horizontal="center" vertical="center"/>
    </xf>
    <xf numFmtId="3" fontId="1" fillId="2" borderId="46" xfId="0" applyNumberFormat="1" applyFont="1" applyFill="1" applyBorder="1" applyAlignment="1" applyProtection="1">
      <alignment horizontal="center" vertical="center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wrapText="1"/>
    </xf>
    <xf numFmtId="0" fontId="3" fillId="0" borderId="4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3" fontId="0" fillId="5" borderId="1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/>
    <xf numFmtId="0" fontId="7" fillId="0" borderId="0" xfId="0" applyFont="1" applyAlignment="1" applyProtection="1">
      <alignment wrapText="1"/>
    </xf>
    <xf numFmtId="0" fontId="0" fillId="0" borderId="0" xfId="0" applyFill="1" applyBorder="1" applyAlignment="1" applyProtection="1"/>
    <xf numFmtId="3" fontId="3" fillId="3" borderId="1" xfId="0" applyNumberFormat="1" applyFont="1" applyFill="1" applyBorder="1" applyAlignment="1" applyProtection="1">
      <alignment horizontal="center" vertical="center" wrapText="1"/>
    </xf>
    <xf numFmtId="1" fontId="3" fillId="0" borderId="20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7" fillId="7" borderId="25" xfId="0" applyFon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/>
    </xf>
    <xf numFmtId="0" fontId="7" fillId="7" borderId="26" xfId="0" applyFont="1" applyFill="1" applyBorder="1" applyAlignment="1" applyProtection="1">
      <alignment horizontal="center"/>
    </xf>
    <xf numFmtId="0" fontId="13" fillId="7" borderId="0" xfId="19" applyFill="1" applyBorder="1" applyAlignment="1">
      <alignment horizontal="left"/>
    </xf>
    <xf numFmtId="0" fontId="3" fillId="0" borderId="38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15" fillId="0" borderId="3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/>
    </xf>
    <xf numFmtId="0" fontId="1" fillId="0" borderId="21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1" fontId="3" fillId="0" borderId="1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/>
    </xf>
    <xf numFmtId="1" fontId="0" fillId="3" borderId="29" xfId="0" applyNumberFormat="1" applyFill="1" applyBorder="1" applyAlignment="1" applyProtection="1">
      <alignment horizontal="center" vertical="center"/>
    </xf>
    <xf numFmtId="1" fontId="0" fillId="3" borderId="24" xfId="0" applyNumberFormat="1" applyFill="1" applyBorder="1" applyAlignment="1" applyProtection="1">
      <alignment horizontal="center" vertical="center"/>
    </xf>
    <xf numFmtId="1" fontId="0" fillId="3" borderId="33" xfId="0" applyNumberFormat="1" applyFill="1" applyBorder="1" applyAlignment="1" applyProtection="1">
      <alignment horizontal="center" vertical="center"/>
    </xf>
    <xf numFmtId="1" fontId="0" fillId="3" borderId="20" xfId="0" applyNumberFormat="1" applyFill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right"/>
    </xf>
    <xf numFmtId="3" fontId="0" fillId="3" borderId="29" xfId="0" applyNumberFormat="1" applyFill="1" applyBorder="1" applyAlignment="1" applyProtection="1">
      <alignment horizontal="center" vertical="center"/>
    </xf>
    <xf numFmtId="3" fontId="0" fillId="3" borderId="24" xfId="0" applyNumberFormat="1" applyFill="1" applyBorder="1" applyAlignment="1" applyProtection="1">
      <alignment horizontal="center" vertical="center"/>
    </xf>
    <xf numFmtId="3" fontId="5" fillId="3" borderId="29" xfId="0" applyNumberFormat="1" applyFont="1" applyFill="1" applyBorder="1" applyAlignment="1" applyProtection="1">
      <alignment horizontal="center" vertical="center"/>
    </xf>
    <xf numFmtId="3" fontId="5" fillId="3" borderId="24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3" fontId="1" fillId="2" borderId="32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3" borderId="32" xfId="0" applyNumberFormat="1" applyFont="1" applyFill="1" applyBorder="1" applyAlignment="1" applyProtection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9" fontId="0" fillId="4" borderId="29" xfId="0" applyNumberFormat="1" applyFill="1" applyBorder="1" applyAlignment="1" applyProtection="1">
      <alignment horizontal="center" vertical="center" wrapText="1"/>
    </xf>
    <xf numFmtId="9" fontId="0" fillId="4" borderId="24" xfId="0" applyNumberForma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left" vertical="center" wrapText="1"/>
    </xf>
    <xf numFmtId="3" fontId="0" fillId="5" borderId="30" xfId="0" applyNumberFormat="1" applyFill="1" applyBorder="1" applyAlignment="1" applyProtection="1">
      <alignment horizontal="center" vertical="center"/>
    </xf>
    <xf numFmtId="3" fontId="0" fillId="5" borderId="31" xfId="0" applyNumberFormat="1" applyFill="1" applyBorder="1" applyAlignment="1" applyProtection="1">
      <alignment horizontal="center" vertical="center"/>
    </xf>
    <xf numFmtId="3" fontId="0" fillId="6" borderId="30" xfId="0" applyNumberFormat="1" applyFill="1" applyBorder="1" applyAlignment="1" applyProtection="1">
      <alignment horizontal="center" vertical="center"/>
      <protection locked="0"/>
    </xf>
    <xf numFmtId="3" fontId="0" fillId="6" borderId="31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3" fontId="0" fillId="2" borderId="29" xfId="0" applyNumberForma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9" fontId="0" fillId="2" borderId="29" xfId="0" applyNumberFormat="1" applyFill="1" applyBorder="1" applyAlignment="1" applyProtection="1">
      <alignment horizontal="center" vertical="center" wrapText="1"/>
      <protection locked="0"/>
    </xf>
    <xf numFmtId="9" fontId="0" fillId="2" borderId="24" xfId="0" applyNumberFormat="1" applyFill="1" applyBorder="1" applyAlignment="1" applyProtection="1">
      <alignment horizontal="center" vertical="center" wrapText="1"/>
      <protection locked="0"/>
    </xf>
    <xf numFmtId="3" fontId="1" fillId="5" borderId="30" xfId="0" applyNumberFormat="1" applyFont="1" applyFill="1" applyBorder="1" applyAlignment="1" applyProtection="1">
      <alignment horizontal="center" vertical="center"/>
    </xf>
    <xf numFmtId="1" fontId="1" fillId="3" borderId="33" xfId="0" applyNumberFormat="1" applyFont="1" applyFill="1" applyBorder="1" applyAlignment="1" applyProtection="1">
      <alignment horizontal="center" vertical="center"/>
    </xf>
    <xf numFmtId="3" fontId="0" fillId="2" borderId="18" xfId="0" applyNumberFormat="1" applyFill="1" applyBorder="1" applyAlignment="1" applyProtection="1">
      <alignment horizontal="center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</xf>
    <xf numFmtId="9" fontId="0" fillId="4" borderId="18" xfId="0" applyNumberFormat="1" applyFill="1" applyBorder="1" applyAlignment="1" applyProtection="1">
      <alignment horizontal="center" vertical="center" wrapText="1"/>
    </xf>
    <xf numFmtId="3" fontId="0" fillId="3" borderId="18" xfId="0" applyNumberFormat="1" applyFill="1" applyBorder="1" applyAlignment="1" applyProtection="1">
      <alignment horizontal="center" vertical="center"/>
    </xf>
    <xf numFmtId="1" fontId="0" fillId="3" borderId="18" xfId="0" applyNumberFormat="1" applyFill="1" applyBorder="1" applyAlignment="1" applyProtection="1">
      <alignment horizontal="center" vertical="center"/>
    </xf>
    <xf numFmtId="3" fontId="5" fillId="3" borderId="40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1" fontId="3" fillId="0" borderId="33" xfId="0" applyNumberFormat="1" applyFont="1" applyBorder="1" applyAlignment="1" applyProtection="1">
      <alignment horizontal="center" vertical="center" wrapText="1"/>
    </xf>
    <xf numFmtId="1" fontId="3" fillId="0" borderId="20" xfId="0" applyNumberFormat="1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9" xfId="0" applyNumberFormat="1" applyFont="1" applyBorder="1" applyAlignment="1" applyProtection="1">
      <alignment horizontal="center" vertical="center" wrapText="1"/>
    </xf>
    <xf numFmtId="3" fontId="3" fillId="0" borderId="24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Fill="1" applyBorder="1" applyAlignment="1" applyProtection="1">
      <alignment horizontal="center" vertical="center" wrapText="1"/>
    </xf>
    <xf numFmtId="1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3" fillId="0" borderId="32" xfId="0" applyNumberFormat="1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 wrapText="1"/>
    </xf>
  </cellXfs>
  <cellStyles count="20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114300</xdr:rowOff>
        </xdr:from>
        <xdr:to>
          <xdr:col>3</xdr:col>
          <xdr:colOff>1876425</xdr:colOff>
          <xdr:row>4</xdr:row>
          <xdr:rowOff>28575</xdr:rowOff>
        </xdr:to>
        <xdr:sp macro="" textlink="">
          <xdr:nvSpPr>
            <xdr:cNvPr id="2068" name="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 Spreadsheet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4</xdr:row>
          <xdr:rowOff>47625</xdr:rowOff>
        </xdr:from>
        <xdr:to>
          <xdr:col>5</xdr:col>
          <xdr:colOff>657225</xdr:colOff>
          <xdr:row>7</xdr:row>
          <xdr:rowOff>123825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 blue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doe.dc.gov/sites/default/files/dc/sites/ddoe/page_content/attachments/DC_RainwaterHarvestingSpreadsheet_apr%202013_v1.3.xlsx" TargetMode="External"/><Relationship Id="rId2" Type="http://schemas.openxmlformats.org/officeDocument/2006/relationships/hyperlink" Target="https://dcgis.maps.arcgis.com/apps/webappviewer/index.html?id=0bdc0da685a6428aabc17a9ae1602412" TargetMode="External"/><Relationship Id="rId1" Type="http://schemas.openxmlformats.org/officeDocument/2006/relationships/hyperlink" Target="http://ddoe.dc.gov/sites/default/files/dc/sites/ddoe/page_content/attachments/Map%20of%20Anacostia%20Waterfront%20Development%20Zone.pdf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29"/>
  <sheetViews>
    <sheetView showGridLines="0" tabSelected="1" zoomScaleNormal="100" workbookViewId="0">
      <selection activeCell="D13" sqref="D13"/>
    </sheetView>
  </sheetViews>
  <sheetFormatPr defaultColWidth="8.85546875" defaultRowHeight="12.75" x14ac:dyDescent="0.2"/>
  <cols>
    <col min="1" max="1" width="1.85546875" style="236" customWidth="1"/>
    <col min="2" max="2" width="3.42578125" style="236" customWidth="1"/>
    <col min="3" max="3" width="2.42578125" style="236" customWidth="1"/>
    <col min="4" max="4" width="39.5703125" style="236" customWidth="1"/>
    <col min="5" max="5" width="5.140625" style="236" customWidth="1"/>
    <col min="6" max="6" width="3.42578125" style="236" customWidth="1"/>
    <col min="7" max="7" width="2.42578125" style="236" customWidth="1"/>
    <col min="8" max="16384" width="8.85546875" style="236"/>
  </cols>
  <sheetData>
    <row r="1" spans="2:13" ht="13.5" thickBot="1" x14ac:dyDescent="0.25"/>
    <row r="2" spans="2:13" ht="17.45" customHeight="1" x14ac:dyDescent="0.25">
      <c r="B2" s="308" t="s">
        <v>142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10"/>
    </row>
    <row r="3" spans="2:13" ht="8.4499999999999993" customHeight="1" x14ac:dyDescent="0.2">
      <c r="B3" s="242"/>
      <c r="M3" s="243"/>
    </row>
    <row r="4" spans="2:13" ht="15" x14ac:dyDescent="0.25">
      <c r="B4" s="244" t="s">
        <v>187</v>
      </c>
      <c r="M4" s="243"/>
    </row>
    <row r="5" spans="2:13" x14ac:dyDescent="0.2">
      <c r="B5" s="242"/>
      <c r="M5" s="243"/>
    </row>
    <row r="6" spans="2:13" ht="15" x14ac:dyDescent="0.25">
      <c r="B6" s="244" t="s">
        <v>183</v>
      </c>
      <c r="F6" s="237" t="s">
        <v>184</v>
      </c>
      <c r="M6" s="243"/>
    </row>
    <row r="7" spans="2:13" x14ac:dyDescent="0.2">
      <c r="B7" s="242"/>
      <c r="C7" s="238" t="s">
        <v>167</v>
      </c>
      <c r="G7" s="238" t="s">
        <v>71</v>
      </c>
      <c r="M7" s="243"/>
    </row>
    <row r="8" spans="2:13" x14ac:dyDescent="0.2">
      <c r="B8" s="242"/>
      <c r="C8" s="239" t="s">
        <v>168</v>
      </c>
      <c r="D8" s="240" t="s">
        <v>171</v>
      </c>
      <c r="G8" s="239" t="s">
        <v>168</v>
      </c>
      <c r="H8" s="240" t="s">
        <v>178</v>
      </c>
      <c r="M8" s="243"/>
    </row>
    <row r="9" spans="2:13" x14ac:dyDescent="0.2">
      <c r="B9" s="242"/>
      <c r="C9" s="239" t="s">
        <v>168</v>
      </c>
      <c r="D9" s="240" t="s">
        <v>202</v>
      </c>
      <c r="G9" s="239" t="s">
        <v>168</v>
      </c>
      <c r="H9" s="311" t="s">
        <v>179</v>
      </c>
      <c r="I9" s="311"/>
      <c r="J9" s="311"/>
      <c r="K9" s="311"/>
      <c r="M9" s="243"/>
    </row>
    <row r="10" spans="2:13" x14ac:dyDescent="0.2">
      <c r="B10" s="242"/>
      <c r="C10" s="239" t="s">
        <v>168</v>
      </c>
      <c r="D10" s="241" t="s">
        <v>169</v>
      </c>
      <c r="M10" s="243"/>
    </row>
    <row r="11" spans="2:13" x14ac:dyDescent="0.2">
      <c r="B11" s="242"/>
      <c r="M11" s="243"/>
    </row>
    <row r="12" spans="2:13" ht="15" x14ac:dyDescent="0.25">
      <c r="B12" s="242"/>
      <c r="C12" s="238" t="s">
        <v>258</v>
      </c>
      <c r="F12" s="237" t="s">
        <v>185</v>
      </c>
      <c r="M12" s="243"/>
    </row>
    <row r="13" spans="2:13" x14ac:dyDescent="0.2">
      <c r="B13" s="242"/>
      <c r="C13" s="239" t="s">
        <v>168</v>
      </c>
      <c r="D13" s="241" t="s">
        <v>257</v>
      </c>
      <c r="G13" s="239" t="s">
        <v>168</v>
      </c>
      <c r="H13" s="240" t="s">
        <v>182</v>
      </c>
      <c r="M13" s="243"/>
    </row>
    <row r="14" spans="2:13" x14ac:dyDescent="0.2">
      <c r="B14" s="242"/>
      <c r="C14" s="239"/>
      <c r="D14" s="241"/>
      <c r="M14" s="243"/>
    </row>
    <row r="15" spans="2:13" ht="15" x14ac:dyDescent="0.25">
      <c r="B15" s="242"/>
      <c r="C15" s="238" t="s">
        <v>190</v>
      </c>
      <c r="F15" s="237" t="s">
        <v>186</v>
      </c>
      <c r="M15" s="243"/>
    </row>
    <row r="16" spans="2:13" x14ac:dyDescent="0.2">
      <c r="B16" s="242"/>
      <c r="C16" s="239" t="s">
        <v>168</v>
      </c>
      <c r="D16" s="240" t="s">
        <v>172</v>
      </c>
      <c r="G16" s="239" t="s">
        <v>168</v>
      </c>
      <c r="H16" s="240" t="s">
        <v>180</v>
      </c>
      <c r="M16" s="243"/>
    </row>
    <row r="17" spans="2:13" x14ac:dyDescent="0.2">
      <c r="B17" s="242"/>
      <c r="G17" s="239" t="s">
        <v>168</v>
      </c>
      <c r="H17" s="240" t="s">
        <v>181</v>
      </c>
      <c r="M17" s="243"/>
    </row>
    <row r="18" spans="2:13" x14ac:dyDescent="0.2">
      <c r="B18" s="242"/>
      <c r="C18" s="238" t="s">
        <v>170</v>
      </c>
      <c r="M18" s="243"/>
    </row>
    <row r="19" spans="2:13" x14ac:dyDescent="0.2">
      <c r="B19" s="242"/>
      <c r="C19" s="239" t="s">
        <v>168</v>
      </c>
      <c r="D19" s="240" t="s">
        <v>173</v>
      </c>
      <c r="M19" s="243"/>
    </row>
    <row r="20" spans="2:13" x14ac:dyDescent="0.2">
      <c r="B20" s="242"/>
      <c r="M20" s="243"/>
    </row>
    <row r="21" spans="2:13" x14ac:dyDescent="0.2">
      <c r="B21" s="242"/>
      <c r="C21" s="238" t="s">
        <v>174</v>
      </c>
      <c r="M21" s="243"/>
    </row>
    <row r="22" spans="2:13" x14ac:dyDescent="0.2">
      <c r="B22" s="242"/>
      <c r="C22" s="239" t="s">
        <v>168</v>
      </c>
      <c r="D22" s="240" t="s">
        <v>175</v>
      </c>
      <c r="M22" s="243"/>
    </row>
    <row r="23" spans="2:13" x14ac:dyDescent="0.2">
      <c r="B23" s="242"/>
      <c r="M23" s="243"/>
    </row>
    <row r="24" spans="2:13" x14ac:dyDescent="0.2">
      <c r="B24" s="242"/>
      <c r="C24" s="238" t="s">
        <v>176</v>
      </c>
      <c r="M24" s="243"/>
    </row>
    <row r="25" spans="2:13" x14ac:dyDescent="0.2">
      <c r="B25" s="242"/>
      <c r="C25" s="239" t="s">
        <v>168</v>
      </c>
      <c r="D25" s="240" t="s">
        <v>177</v>
      </c>
      <c r="M25" s="243"/>
    </row>
    <row r="26" spans="2:13" x14ac:dyDescent="0.2">
      <c r="B26" s="242"/>
      <c r="M26" s="243"/>
    </row>
    <row r="27" spans="2:13" x14ac:dyDescent="0.2">
      <c r="B27" s="242"/>
      <c r="M27" s="243"/>
    </row>
    <row r="28" spans="2:13" x14ac:dyDescent="0.2">
      <c r="B28" s="242"/>
      <c r="M28" s="243"/>
    </row>
    <row r="29" spans="2:13" ht="13.5" thickBot="1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7"/>
    </row>
  </sheetData>
  <mergeCells count="2">
    <mergeCell ref="B2:M2"/>
    <mergeCell ref="H9:K9"/>
  </mergeCells>
  <hyperlinks>
    <hyperlink ref="D10" r:id="rId1"/>
    <hyperlink ref="D13" r:id="rId2" display="Locate Your Watershed"/>
    <hyperlink ref="H9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S317"/>
  <sheetViews>
    <sheetView showGridLines="0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152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241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242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3:L34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M35:M36"/>
    <mergeCell ref="M33:M34"/>
    <mergeCell ref="N33:N34"/>
    <mergeCell ref="O33:O34"/>
    <mergeCell ref="P33:P34"/>
    <mergeCell ref="Q33:Q34"/>
    <mergeCell ref="R33:R34"/>
    <mergeCell ref="A33:A34"/>
    <mergeCell ref="F33:F34"/>
    <mergeCell ref="G33:G34"/>
    <mergeCell ref="H33:H34"/>
    <mergeCell ref="I33:J34"/>
    <mergeCell ref="K33:K34"/>
    <mergeCell ref="T35:T36"/>
    <mergeCell ref="N35:N36"/>
    <mergeCell ref="A37:A38"/>
    <mergeCell ref="F37:F38"/>
    <mergeCell ref="G37:G38"/>
    <mergeCell ref="H37:H38"/>
    <mergeCell ref="I37:J38"/>
    <mergeCell ref="K37:K38"/>
    <mergeCell ref="L37:L38"/>
    <mergeCell ref="M37:M38"/>
    <mergeCell ref="N37:N38"/>
    <mergeCell ref="O35:O36"/>
    <mergeCell ref="P35:P36"/>
    <mergeCell ref="Q35:Q36"/>
    <mergeCell ref="R35:R36"/>
    <mergeCell ref="S35:S36"/>
    <mergeCell ref="K39:K40"/>
    <mergeCell ref="S41:S42"/>
    <mergeCell ref="T41:T42"/>
    <mergeCell ref="O37:O38"/>
    <mergeCell ref="P37:P38"/>
    <mergeCell ref="Q37:Q38"/>
    <mergeCell ref="R37:R38"/>
    <mergeCell ref="S37:S38"/>
    <mergeCell ref="T37:T38"/>
    <mergeCell ref="N41:N42"/>
    <mergeCell ref="O41:O42"/>
    <mergeCell ref="P41:P42"/>
    <mergeCell ref="Q41:Q42"/>
    <mergeCell ref="R41:R42"/>
    <mergeCell ref="L43:L44"/>
    <mergeCell ref="M43:M44"/>
    <mergeCell ref="M41:M42"/>
    <mergeCell ref="R39:R40"/>
    <mergeCell ref="S39:S40"/>
    <mergeCell ref="T39:T40"/>
    <mergeCell ref="A41:A42"/>
    <mergeCell ref="F41:F42"/>
    <mergeCell ref="G41:G42"/>
    <mergeCell ref="H41:H42"/>
    <mergeCell ref="I41:J42"/>
    <mergeCell ref="K41:K42"/>
    <mergeCell ref="L41:L42"/>
    <mergeCell ref="L39:L40"/>
    <mergeCell ref="M39:M40"/>
    <mergeCell ref="N39:N40"/>
    <mergeCell ref="O39:O40"/>
    <mergeCell ref="P39:P40"/>
    <mergeCell ref="Q39:Q40"/>
    <mergeCell ref="A39:A40"/>
    <mergeCell ref="F39:F40"/>
    <mergeCell ref="G39:G40"/>
    <mergeCell ref="H39:H40"/>
    <mergeCell ref="I39:J40"/>
    <mergeCell ref="O45:O46"/>
    <mergeCell ref="P45:P46"/>
    <mergeCell ref="Q45:Q46"/>
    <mergeCell ref="R45:R46"/>
    <mergeCell ref="S45:S46"/>
    <mergeCell ref="T45:T46"/>
    <mergeCell ref="T43:T44"/>
    <mergeCell ref="A45:A46"/>
    <mergeCell ref="F45:F46"/>
    <mergeCell ref="G45:G46"/>
    <mergeCell ref="H45:H46"/>
    <mergeCell ref="I45:J46"/>
    <mergeCell ref="K45:K46"/>
    <mergeCell ref="L45:L46"/>
    <mergeCell ref="M45:M46"/>
    <mergeCell ref="N45:N46"/>
    <mergeCell ref="N43:N44"/>
    <mergeCell ref="O43:O44"/>
    <mergeCell ref="P43:P44"/>
    <mergeCell ref="Q43:Q44"/>
    <mergeCell ref="R43:R44"/>
    <mergeCell ref="S43:S44"/>
    <mergeCell ref="A43:A44"/>
    <mergeCell ref="F43:F44"/>
    <mergeCell ref="G43:G44"/>
    <mergeCell ref="H43:H44"/>
    <mergeCell ref="I43:J44"/>
    <mergeCell ref="K43:K44"/>
    <mergeCell ref="A49:A50"/>
    <mergeCell ref="F49:F50"/>
    <mergeCell ref="G49:G50"/>
    <mergeCell ref="H49:H50"/>
    <mergeCell ref="I49:J50"/>
    <mergeCell ref="K49:K50"/>
    <mergeCell ref="L49:L50"/>
    <mergeCell ref="L47:L48"/>
    <mergeCell ref="M47:M48"/>
    <mergeCell ref="A47:A48"/>
    <mergeCell ref="F47:F48"/>
    <mergeCell ref="G47:G48"/>
    <mergeCell ref="H47:H48"/>
    <mergeCell ref="I47:J48"/>
    <mergeCell ref="K47:K48"/>
    <mergeCell ref="H51:H52"/>
    <mergeCell ref="I51:J52"/>
    <mergeCell ref="K51:K52"/>
    <mergeCell ref="L51:L52"/>
    <mergeCell ref="M51:M52"/>
    <mergeCell ref="M49:M50"/>
    <mergeCell ref="R47:R48"/>
    <mergeCell ref="S47:S48"/>
    <mergeCell ref="T47:T48"/>
    <mergeCell ref="N47:N48"/>
    <mergeCell ref="O47:O48"/>
    <mergeCell ref="P47:P48"/>
    <mergeCell ref="Q47:Q48"/>
    <mergeCell ref="S49:S50"/>
    <mergeCell ref="T49:T50"/>
    <mergeCell ref="N49:N50"/>
    <mergeCell ref="O49:O50"/>
    <mergeCell ref="P49:P50"/>
    <mergeCell ref="Q49:Q50"/>
    <mergeCell ref="R49:R50"/>
    <mergeCell ref="T51:T52"/>
    <mergeCell ref="N51:N52"/>
    <mergeCell ref="O51:O52"/>
    <mergeCell ref="P51:P52"/>
    <mergeCell ref="O53:O54"/>
    <mergeCell ref="P53:P54"/>
    <mergeCell ref="Q53:Q54"/>
    <mergeCell ref="R53:R54"/>
    <mergeCell ref="K55:K56"/>
    <mergeCell ref="S57:S58"/>
    <mergeCell ref="T57:T58"/>
    <mergeCell ref="S53:S54"/>
    <mergeCell ref="T53:T54"/>
    <mergeCell ref="T55:T56"/>
    <mergeCell ref="R57:R58"/>
    <mergeCell ref="A53:A54"/>
    <mergeCell ref="F53:F54"/>
    <mergeCell ref="G53:G54"/>
    <mergeCell ref="H53:H54"/>
    <mergeCell ref="I53:J54"/>
    <mergeCell ref="K53:K54"/>
    <mergeCell ref="L53:L54"/>
    <mergeCell ref="M53:M54"/>
    <mergeCell ref="N53:N54"/>
    <mergeCell ref="Q51:Q52"/>
    <mergeCell ref="R51:R52"/>
    <mergeCell ref="S51:S52"/>
    <mergeCell ref="A51:A52"/>
    <mergeCell ref="F51:F52"/>
    <mergeCell ref="G51:G52"/>
    <mergeCell ref="L59:L60"/>
    <mergeCell ref="M59:M60"/>
    <mergeCell ref="M57:M58"/>
    <mergeCell ref="R55:R56"/>
    <mergeCell ref="S55:S56"/>
    <mergeCell ref="A57:A58"/>
    <mergeCell ref="F57:F58"/>
    <mergeCell ref="G57:G58"/>
    <mergeCell ref="H57:H58"/>
    <mergeCell ref="I57:J58"/>
    <mergeCell ref="K57:K58"/>
    <mergeCell ref="L57:L58"/>
    <mergeCell ref="L55:L56"/>
    <mergeCell ref="M55:M56"/>
    <mergeCell ref="N55:N56"/>
    <mergeCell ref="O55:O56"/>
    <mergeCell ref="P55:P56"/>
    <mergeCell ref="Q55:Q56"/>
    <mergeCell ref="A55:A56"/>
    <mergeCell ref="F55:F56"/>
    <mergeCell ref="G55:G56"/>
    <mergeCell ref="H55:H56"/>
    <mergeCell ref="I55:J56"/>
    <mergeCell ref="N57:N58"/>
    <mergeCell ref="O57:O58"/>
    <mergeCell ref="P57:P58"/>
    <mergeCell ref="Q57:Q58"/>
    <mergeCell ref="O61:O62"/>
    <mergeCell ref="P61:P62"/>
    <mergeCell ref="Q61:Q62"/>
    <mergeCell ref="R61:R62"/>
    <mergeCell ref="S61:S62"/>
    <mergeCell ref="T61:T62"/>
    <mergeCell ref="T59:T60"/>
    <mergeCell ref="A61:A62"/>
    <mergeCell ref="F61:F62"/>
    <mergeCell ref="G61:G62"/>
    <mergeCell ref="H61:H62"/>
    <mergeCell ref="I61:J62"/>
    <mergeCell ref="K61:K62"/>
    <mergeCell ref="L61:L62"/>
    <mergeCell ref="M61:M62"/>
    <mergeCell ref="N61:N62"/>
    <mergeCell ref="N59:N60"/>
    <mergeCell ref="O59:O60"/>
    <mergeCell ref="P59:P60"/>
    <mergeCell ref="Q59:Q60"/>
    <mergeCell ref="R59:R60"/>
    <mergeCell ref="S59:S60"/>
    <mergeCell ref="A59:A60"/>
    <mergeCell ref="F59:F60"/>
    <mergeCell ref="G59:G60"/>
    <mergeCell ref="H59:H60"/>
    <mergeCell ref="I59:J60"/>
    <mergeCell ref="K59:K60"/>
    <mergeCell ref="A65:A66"/>
    <mergeCell ref="F65:F66"/>
    <mergeCell ref="G65:G66"/>
    <mergeCell ref="H65:H66"/>
    <mergeCell ref="I65:J66"/>
    <mergeCell ref="K65:K66"/>
    <mergeCell ref="L65:L66"/>
    <mergeCell ref="L63:L64"/>
    <mergeCell ref="M63:M64"/>
    <mergeCell ref="A63:A64"/>
    <mergeCell ref="F63:F64"/>
    <mergeCell ref="G63:G64"/>
    <mergeCell ref="H63:H64"/>
    <mergeCell ref="I63:J64"/>
    <mergeCell ref="K63:K64"/>
    <mergeCell ref="H67:H68"/>
    <mergeCell ref="I67:J68"/>
    <mergeCell ref="K67:K68"/>
    <mergeCell ref="L67:L68"/>
    <mergeCell ref="M67:M68"/>
    <mergeCell ref="M65:M66"/>
    <mergeCell ref="R63:R64"/>
    <mergeCell ref="S63:S64"/>
    <mergeCell ref="T63:T64"/>
    <mergeCell ref="N63:N64"/>
    <mergeCell ref="O63:O64"/>
    <mergeCell ref="P63:P64"/>
    <mergeCell ref="Q63:Q64"/>
    <mergeCell ref="S65:S66"/>
    <mergeCell ref="T65:T66"/>
    <mergeCell ref="N65:N66"/>
    <mergeCell ref="O65:O66"/>
    <mergeCell ref="P65:P66"/>
    <mergeCell ref="Q65:Q66"/>
    <mergeCell ref="R65:R66"/>
    <mergeCell ref="T67:T68"/>
    <mergeCell ref="N67:N68"/>
    <mergeCell ref="O67:O68"/>
    <mergeCell ref="P67:P68"/>
    <mergeCell ref="O69:O70"/>
    <mergeCell ref="P69:P70"/>
    <mergeCell ref="Q69:Q70"/>
    <mergeCell ref="R69:R70"/>
    <mergeCell ref="K71:K72"/>
    <mergeCell ref="S73:S74"/>
    <mergeCell ref="T73:T74"/>
    <mergeCell ref="S69:S70"/>
    <mergeCell ref="T69:T70"/>
    <mergeCell ref="T71:T72"/>
    <mergeCell ref="R73:R74"/>
    <mergeCell ref="A69:A70"/>
    <mergeCell ref="F69:F70"/>
    <mergeCell ref="G69:G70"/>
    <mergeCell ref="H69:H70"/>
    <mergeCell ref="I69:J70"/>
    <mergeCell ref="K69:K70"/>
    <mergeCell ref="L69:L70"/>
    <mergeCell ref="M69:M70"/>
    <mergeCell ref="N69:N70"/>
    <mergeCell ref="Q67:Q68"/>
    <mergeCell ref="R67:R68"/>
    <mergeCell ref="S67:S68"/>
    <mergeCell ref="A67:A68"/>
    <mergeCell ref="F67:F68"/>
    <mergeCell ref="G67:G68"/>
    <mergeCell ref="L75:L76"/>
    <mergeCell ref="M75:M76"/>
    <mergeCell ref="M73:M74"/>
    <mergeCell ref="R71:R72"/>
    <mergeCell ref="S71:S72"/>
    <mergeCell ref="A73:A74"/>
    <mergeCell ref="B73:F74"/>
    <mergeCell ref="G73:G74"/>
    <mergeCell ref="H73:H74"/>
    <mergeCell ref="I73:J74"/>
    <mergeCell ref="K73:K74"/>
    <mergeCell ref="L73:L74"/>
    <mergeCell ref="L71:L72"/>
    <mergeCell ref="M71:M72"/>
    <mergeCell ref="N71:N72"/>
    <mergeCell ref="O71:O72"/>
    <mergeCell ref="P71:P72"/>
    <mergeCell ref="Q71:Q72"/>
    <mergeCell ref="A71:A72"/>
    <mergeCell ref="G71:G72"/>
    <mergeCell ref="H71:H72"/>
    <mergeCell ref="I71:J72"/>
    <mergeCell ref="N73:N74"/>
    <mergeCell ref="O73:O74"/>
    <mergeCell ref="P73:P74"/>
    <mergeCell ref="Q73:Q74"/>
    <mergeCell ref="F71:F72"/>
    <mergeCell ref="P77:P78"/>
    <mergeCell ref="Q77:Q78"/>
    <mergeCell ref="R77:R78"/>
    <mergeCell ref="S77:S78"/>
    <mergeCell ref="T77:T78"/>
    <mergeCell ref="T75:T76"/>
    <mergeCell ref="A77:A78"/>
    <mergeCell ref="B77:F78"/>
    <mergeCell ref="G77:G78"/>
    <mergeCell ref="H77:H78"/>
    <mergeCell ref="I77:J78"/>
    <mergeCell ref="K77:K78"/>
    <mergeCell ref="L77:L78"/>
    <mergeCell ref="M77:M78"/>
    <mergeCell ref="N77:N78"/>
    <mergeCell ref="N75:N76"/>
    <mergeCell ref="O75:O76"/>
    <mergeCell ref="P75:P76"/>
    <mergeCell ref="Q75:Q76"/>
    <mergeCell ref="R75:R76"/>
    <mergeCell ref="S75:S76"/>
    <mergeCell ref="A75:A76"/>
    <mergeCell ref="B75:F76"/>
    <mergeCell ref="A79:A80"/>
    <mergeCell ref="B79:F80"/>
    <mergeCell ref="G79:G80"/>
    <mergeCell ref="H79:H80"/>
    <mergeCell ref="I79:J80"/>
    <mergeCell ref="K79:K80"/>
    <mergeCell ref="M87:O87"/>
    <mergeCell ref="G75:G76"/>
    <mergeCell ref="H75:H76"/>
    <mergeCell ref="I75:J76"/>
    <mergeCell ref="K75:K76"/>
    <mergeCell ref="L79:L80"/>
    <mergeCell ref="M79:M80"/>
    <mergeCell ref="N79:N80"/>
    <mergeCell ref="O79:O80"/>
    <mergeCell ref="O77:O78"/>
    <mergeCell ref="A81:A82"/>
    <mergeCell ref="B81:F82"/>
    <mergeCell ref="G81:G82"/>
    <mergeCell ref="H81:H82"/>
    <mergeCell ref="I81:J82"/>
    <mergeCell ref="K81:K82"/>
    <mergeCell ref="L81:L82"/>
    <mergeCell ref="M93:O93"/>
    <mergeCell ref="M89:O89"/>
    <mergeCell ref="M91:O91"/>
    <mergeCell ref="R79:R80"/>
    <mergeCell ref="S79:S80"/>
    <mergeCell ref="T79:T80"/>
    <mergeCell ref="M84:O84"/>
    <mergeCell ref="Q79:Q80"/>
    <mergeCell ref="P79:P80"/>
    <mergeCell ref="M81:M82"/>
    <mergeCell ref="N81:N82"/>
    <mergeCell ref="O81:O82"/>
    <mergeCell ref="P81:P82"/>
    <mergeCell ref="Q81:Q82"/>
    <mergeCell ref="R81:R82"/>
    <mergeCell ref="S81:S82"/>
    <mergeCell ref="T81:T82"/>
    <mergeCell ref="M86:O86"/>
    <mergeCell ref="Q87:R87"/>
    <mergeCell ref="M90:O90"/>
  </mergeCells>
  <dataValidations count="2">
    <dataValidation type="list" allowBlank="1" showInputMessage="1" showErrorMessage="1" sqref="G13">
      <formula1>#REF!</formula1>
    </dataValidation>
    <dataValidation type="list" allowBlank="1" showInputMessage="1" showErrorMessage="1" sqref="S31 S37:S76 S35 S33">
      <formula1>$A$95:$A$115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S317"/>
  <sheetViews>
    <sheetView showGridLines="0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153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243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244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3:L34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M35:M36"/>
    <mergeCell ref="M33:M34"/>
    <mergeCell ref="N33:N34"/>
    <mergeCell ref="O33:O34"/>
    <mergeCell ref="P33:P34"/>
    <mergeCell ref="Q33:Q34"/>
    <mergeCell ref="R33:R34"/>
    <mergeCell ref="A33:A34"/>
    <mergeCell ref="F33:F34"/>
    <mergeCell ref="G33:G34"/>
    <mergeCell ref="H33:H34"/>
    <mergeCell ref="I33:J34"/>
    <mergeCell ref="K33:K34"/>
    <mergeCell ref="T35:T36"/>
    <mergeCell ref="N35:N36"/>
    <mergeCell ref="A37:A38"/>
    <mergeCell ref="F37:F38"/>
    <mergeCell ref="G37:G38"/>
    <mergeCell ref="H37:H38"/>
    <mergeCell ref="I37:J38"/>
    <mergeCell ref="K37:K38"/>
    <mergeCell ref="L37:L38"/>
    <mergeCell ref="M37:M38"/>
    <mergeCell ref="N37:N38"/>
    <mergeCell ref="O35:O36"/>
    <mergeCell ref="P35:P36"/>
    <mergeCell ref="Q35:Q36"/>
    <mergeCell ref="R35:R36"/>
    <mergeCell ref="S35:S36"/>
    <mergeCell ref="K39:K40"/>
    <mergeCell ref="S41:S42"/>
    <mergeCell ref="T41:T42"/>
    <mergeCell ref="O37:O38"/>
    <mergeCell ref="P37:P38"/>
    <mergeCell ref="Q37:Q38"/>
    <mergeCell ref="R37:R38"/>
    <mergeCell ref="S37:S38"/>
    <mergeCell ref="T37:T38"/>
    <mergeCell ref="N41:N42"/>
    <mergeCell ref="O41:O42"/>
    <mergeCell ref="P41:P42"/>
    <mergeCell ref="Q41:Q42"/>
    <mergeCell ref="R41:R42"/>
    <mergeCell ref="L43:L44"/>
    <mergeCell ref="M43:M44"/>
    <mergeCell ref="M41:M42"/>
    <mergeCell ref="R39:R40"/>
    <mergeCell ref="S39:S40"/>
    <mergeCell ref="T39:T40"/>
    <mergeCell ref="A41:A42"/>
    <mergeCell ref="F41:F42"/>
    <mergeCell ref="G41:G42"/>
    <mergeCell ref="H41:H42"/>
    <mergeCell ref="I41:J42"/>
    <mergeCell ref="K41:K42"/>
    <mergeCell ref="L41:L42"/>
    <mergeCell ref="L39:L40"/>
    <mergeCell ref="M39:M40"/>
    <mergeCell ref="N39:N40"/>
    <mergeCell ref="O39:O40"/>
    <mergeCell ref="P39:P40"/>
    <mergeCell ref="Q39:Q40"/>
    <mergeCell ref="A39:A40"/>
    <mergeCell ref="F39:F40"/>
    <mergeCell ref="G39:G40"/>
    <mergeCell ref="H39:H40"/>
    <mergeCell ref="I39:J40"/>
    <mergeCell ref="O45:O46"/>
    <mergeCell ref="P45:P46"/>
    <mergeCell ref="Q45:Q46"/>
    <mergeCell ref="R45:R46"/>
    <mergeCell ref="S45:S46"/>
    <mergeCell ref="T45:T46"/>
    <mergeCell ref="T43:T44"/>
    <mergeCell ref="A45:A46"/>
    <mergeCell ref="F45:F46"/>
    <mergeCell ref="G45:G46"/>
    <mergeCell ref="H45:H46"/>
    <mergeCell ref="I45:J46"/>
    <mergeCell ref="K45:K46"/>
    <mergeCell ref="L45:L46"/>
    <mergeCell ref="M45:M46"/>
    <mergeCell ref="N45:N46"/>
    <mergeCell ref="N43:N44"/>
    <mergeCell ref="O43:O44"/>
    <mergeCell ref="P43:P44"/>
    <mergeCell ref="Q43:Q44"/>
    <mergeCell ref="R43:R44"/>
    <mergeCell ref="S43:S44"/>
    <mergeCell ref="A43:A44"/>
    <mergeCell ref="F43:F44"/>
    <mergeCell ref="G43:G44"/>
    <mergeCell ref="H43:H44"/>
    <mergeCell ref="I43:J44"/>
    <mergeCell ref="K43:K44"/>
    <mergeCell ref="A49:A50"/>
    <mergeCell ref="F49:F50"/>
    <mergeCell ref="G49:G50"/>
    <mergeCell ref="H49:H50"/>
    <mergeCell ref="I49:J50"/>
    <mergeCell ref="K49:K50"/>
    <mergeCell ref="L49:L50"/>
    <mergeCell ref="L47:L48"/>
    <mergeCell ref="M47:M48"/>
    <mergeCell ref="A47:A48"/>
    <mergeCell ref="F47:F48"/>
    <mergeCell ref="G47:G48"/>
    <mergeCell ref="H47:H48"/>
    <mergeCell ref="I47:J48"/>
    <mergeCell ref="K47:K48"/>
    <mergeCell ref="H51:H52"/>
    <mergeCell ref="I51:J52"/>
    <mergeCell ref="K51:K52"/>
    <mergeCell ref="L51:L52"/>
    <mergeCell ref="M51:M52"/>
    <mergeCell ref="M49:M50"/>
    <mergeCell ref="R47:R48"/>
    <mergeCell ref="S47:S48"/>
    <mergeCell ref="T47:T48"/>
    <mergeCell ref="N47:N48"/>
    <mergeCell ref="O47:O48"/>
    <mergeCell ref="P47:P48"/>
    <mergeCell ref="Q47:Q48"/>
    <mergeCell ref="S49:S50"/>
    <mergeCell ref="T49:T50"/>
    <mergeCell ref="N49:N50"/>
    <mergeCell ref="O49:O50"/>
    <mergeCell ref="P49:P50"/>
    <mergeCell ref="Q49:Q50"/>
    <mergeCell ref="R49:R50"/>
    <mergeCell ref="T51:T52"/>
    <mergeCell ref="N51:N52"/>
    <mergeCell ref="O51:O52"/>
    <mergeCell ref="P51:P52"/>
    <mergeCell ref="O53:O54"/>
    <mergeCell ref="P53:P54"/>
    <mergeCell ref="Q53:Q54"/>
    <mergeCell ref="R53:R54"/>
    <mergeCell ref="K55:K56"/>
    <mergeCell ref="S57:S58"/>
    <mergeCell ref="T57:T58"/>
    <mergeCell ref="S53:S54"/>
    <mergeCell ref="T53:T54"/>
    <mergeCell ref="T55:T56"/>
    <mergeCell ref="R57:R58"/>
    <mergeCell ref="A53:A54"/>
    <mergeCell ref="F53:F54"/>
    <mergeCell ref="G53:G54"/>
    <mergeCell ref="H53:H54"/>
    <mergeCell ref="I53:J54"/>
    <mergeCell ref="K53:K54"/>
    <mergeCell ref="L53:L54"/>
    <mergeCell ref="M53:M54"/>
    <mergeCell ref="N53:N54"/>
    <mergeCell ref="Q51:Q52"/>
    <mergeCell ref="R51:R52"/>
    <mergeCell ref="S51:S52"/>
    <mergeCell ref="A51:A52"/>
    <mergeCell ref="F51:F52"/>
    <mergeCell ref="G51:G52"/>
    <mergeCell ref="L59:L60"/>
    <mergeCell ref="M59:M60"/>
    <mergeCell ref="M57:M58"/>
    <mergeCell ref="R55:R56"/>
    <mergeCell ref="S55:S56"/>
    <mergeCell ref="A57:A58"/>
    <mergeCell ref="F57:F58"/>
    <mergeCell ref="G57:G58"/>
    <mergeCell ref="H57:H58"/>
    <mergeCell ref="I57:J58"/>
    <mergeCell ref="K57:K58"/>
    <mergeCell ref="L57:L58"/>
    <mergeCell ref="L55:L56"/>
    <mergeCell ref="M55:M56"/>
    <mergeCell ref="N55:N56"/>
    <mergeCell ref="O55:O56"/>
    <mergeCell ref="P55:P56"/>
    <mergeCell ref="Q55:Q56"/>
    <mergeCell ref="A55:A56"/>
    <mergeCell ref="F55:F56"/>
    <mergeCell ref="G55:G56"/>
    <mergeCell ref="H55:H56"/>
    <mergeCell ref="I55:J56"/>
    <mergeCell ref="N57:N58"/>
    <mergeCell ref="O57:O58"/>
    <mergeCell ref="P57:P58"/>
    <mergeCell ref="Q57:Q58"/>
    <mergeCell ref="O61:O62"/>
    <mergeCell ref="P61:P62"/>
    <mergeCell ref="Q61:Q62"/>
    <mergeCell ref="R61:R62"/>
    <mergeCell ref="S61:S62"/>
    <mergeCell ref="T61:T62"/>
    <mergeCell ref="T59:T60"/>
    <mergeCell ref="A61:A62"/>
    <mergeCell ref="F61:F62"/>
    <mergeCell ref="G61:G62"/>
    <mergeCell ref="H61:H62"/>
    <mergeCell ref="I61:J62"/>
    <mergeCell ref="K61:K62"/>
    <mergeCell ref="L61:L62"/>
    <mergeCell ref="M61:M62"/>
    <mergeCell ref="N61:N62"/>
    <mergeCell ref="N59:N60"/>
    <mergeCell ref="O59:O60"/>
    <mergeCell ref="P59:P60"/>
    <mergeCell ref="Q59:Q60"/>
    <mergeCell ref="R59:R60"/>
    <mergeCell ref="S59:S60"/>
    <mergeCell ref="A59:A60"/>
    <mergeCell ref="F59:F60"/>
    <mergeCell ref="G59:G60"/>
    <mergeCell ref="H59:H60"/>
    <mergeCell ref="I59:J60"/>
    <mergeCell ref="K59:K60"/>
    <mergeCell ref="A65:A66"/>
    <mergeCell ref="F65:F66"/>
    <mergeCell ref="G65:G66"/>
    <mergeCell ref="H65:H66"/>
    <mergeCell ref="I65:J66"/>
    <mergeCell ref="K65:K66"/>
    <mergeCell ref="L65:L66"/>
    <mergeCell ref="L63:L64"/>
    <mergeCell ref="M63:M64"/>
    <mergeCell ref="A63:A64"/>
    <mergeCell ref="F63:F64"/>
    <mergeCell ref="G63:G64"/>
    <mergeCell ref="H63:H64"/>
    <mergeCell ref="I63:J64"/>
    <mergeCell ref="K63:K64"/>
    <mergeCell ref="H67:H68"/>
    <mergeCell ref="I67:J68"/>
    <mergeCell ref="K67:K68"/>
    <mergeCell ref="L67:L68"/>
    <mergeCell ref="M67:M68"/>
    <mergeCell ref="M65:M66"/>
    <mergeCell ref="R63:R64"/>
    <mergeCell ref="S63:S64"/>
    <mergeCell ref="T63:T64"/>
    <mergeCell ref="N63:N64"/>
    <mergeCell ref="O63:O64"/>
    <mergeCell ref="P63:P64"/>
    <mergeCell ref="Q63:Q64"/>
    <mergeCell ref="S65:S66"/>
    <mergeCell ref="T65:T66"/>
    <mergeCell ref="N65:N66"/>
    <mergeCell ref="O65:O66"/>
    <mergeCell ref="P65:P66"/>
    <mergeCell ref="Q65:Q66"/>
    <mergeCell ref="R65:R66"/>
    <mergeCell ref="T67:T68"/>
    <mergeCell ref="N67:N68"/>
    <mergeCell ref="O67:O68"/>
    <mergeCell ref="P67:P68"/>
    <mergeCell ref="O69:O70"/>
    <mergeCell ref="P69:P70"/>
    <mergeCell ref="Q69:Q70"/>
    <mergeCell ref="R69:R70"/>
    <mergeCell ref="K71:K72"/>
    <mergeCell ref="S73:S74"/>
    <mergeCell ref="T73:T74"/>
    <mergeCell ref="S69:S70"/>
    <mergeCell ref="T69:T70"/>
    <mergeCell ref="T71:T72"/>
    <mergeCell ref="R73:R74"/>
    <mergeCell ref="A69:A70"/>
    <mergeCell ref="F69:F70"/>
    <mergeCell ref="G69:G70"/>
    <mergeCell ref="H69:H70"/>
    <mergeCell ref="I69:J70"/>
    <mergeCell ref="K69:K70"/>
    <mergeCell ref="L69:L70"/>
    <mergeCell ref="M69:M70"/>
    <mergeCell ref="N69:N70"/>
    <mergeCell ref="Q67:Q68"/>
    <mergeCell ref="R67:R68"/>
    <mergeCell ref="S67:S68"/>
    <mergeCell ref="A67:A68"/>
    <mergeCell ref="F67:F68"/>
    <mergeCell ref="G67:G68"/>
    <mergeCell ref="L75:L76"/>
    <mergeCell ref="M75:M76"/>
    <mergeCell ref="M73:M74"/>
    <mergeCell ref="R71:R72"/>
    <mergeCell ref="S71:S72"/>
    <mergeCell ref="A73:A74"/>
    <mergeCell ref="B73:F74"/>
    <mergeCell ref="G73:G74"/>
    <mergeCell ref="H73:H74"/>
    <mergeCell ref="I73:J74"/>
    <mergeCell ref="K73:K74"/>
    <mergeCell ref="L73:L74"/>
    <mergeCell ref="L71:L72"/>
    <mergeCell ref="M71:M72"/>
    <mergeCell ref="N71:N72"/>
    <mergeCell ref="O71:O72"/>
    <mergeCell ref="P71:P72"/>
    <mergeCell ref="Q71:Q72"/>
    <mergeCell ref="A71:A72"/>
    <mergeCell ref="G71:G72"/>
    <mergeCell ref="H71:H72"/>
    <mergeCell ref="I71:J72"/>
    <mergeCell ref="N73:N74"/>
    <mergeCell ref="O73:O74"/>
    <mergeCell ref="P73:P74"/>
    <mergeCell ref="Q73:Q74"/>
    <mergeCell ref="F71:F72"/>
    <mergeCell ref="P77:P78"/>
    <mergeCell ref="Q77:Q78"/>
    <mergeCell ref="R77:R78"/>
    <mergeCell ref="S77:S78"/>
    <mergeCell ref="T77:T78"/>
    <mergeCell ref="T75:T76"/>
    <mergeCell ref="A77:A78"/>
    <mergeCell ref="B77:F78"/>
    <mergeCell ref="G77:G78"/>
    <mergeCell ref="H77:H78"/>
    <mergeCell ref="I77:J78"/>
    <mergeCell ref="K77:K78"/>
    <mergeCell ref="L77:L78"/>
    <mergeCell ref="M77:M78"/>
    <mergeCell ref="N77:N78"/>
    <mergeCell ref="N75:N76"/>
    <mergeCell ref="O75:O76"/>
    <mergeCell ref="P75:P76"/>
    <mergeCell ref="Q75:Q76"/>
    <mergeCell ref="R75:R76"/>
    <mergeCell ref="S75:S76"/>
    <mergeCell ref="A75:A76"/>
    <mergeCell ref="B75:F76"/>
    <mergeCell ref="A79:A80"/>
    <mergeCell ref="B79:F80"/>
    <mergeCell ref="G79:G80"/>
    <mergeCell ref="H79:H80"/>
    <mergeCell ref="I79:J80"/>
    <mergeCell ref="K79:K80"/>
    <mergeCell ref="M87:O87"/>
    <mergeCell ref="G75:G76"/>
    <mergeCell ref="H75:H76"/>
    <mergeCell ref="I75:J76"/>
    <mergeCell ref="K75:K76"/>
    <mergeCell ref="L79:L80"/>
    <mergeCell ref="M79:M80"/>
    <mergeCell ref="N79:N80"/>
    <mergeCell ref="O79:O80"/>
    <mergeCell ref="O77:O78"/>
    <mergeCell ref="A81:A82"/>
    <mergeCell ref="B81:F82"/>
    <mergeCell ref="G81:G82"/>
    <mergeCell ref="H81:H82"/>
    <mergeCell ref="I81:J82"/>
    <mergeCell ref="K81:K82"/>
    <mergeCell ref="L81:L82"/>
    <mergeCell ref="M93:O93"/>
    <mergeCell ref="M89:O89"/>
    <mergeCell ref="M91:O91"/>
    <mergeCell ref="R79:R80"/>
    <mergeCell ref="S79:S80"/>
    <mergeCell ref="T79:T80"/>
    <mergeCell ref="M84:O84"/>
    <mergeCell ref="Q79:Q80"/>
    <mergeCell ref="P79:P80"/>
    <mergeCell ref="M81:M82"/>
    <mergeCell ref="N81:N82"/>
    <mergeCell ref="O81:O82"/>
    <mergeCell ref="P81:P82"/>
    <mergeCell ref="Q81:Q82"/>
    <mergeCell ref="R81:R82"/>
    <mergeCell ref="S81:S82"/>
    <mergeCell ref="T81:T82"/>
    <mergeCell ref="M86:O86"/>
    <mergeCell ref="Q87:R87"/>
    <mergeCell ref="M90:O90"/>
  </mergeCells>
  <dataValidations count="2">
    <dataValidation type="list" allowBlank="1" showInputMessage="1" showErrorMessage="1" sqref="G13">
      <formula1>#REF!</formula1>
    </dataValidation>
    <dataValidation type="list" allowBlank="1" showInputMessage="1" showErrorMessage="1" sqref="S31 S37:S76 S35 S33">
      <formula1>$A$95:$A$115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S317"/>
  <sheetViews>
    <sheetView showGridLines="0" topLeftCell="A22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154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245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246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3:L34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M35:M36"/>
    <mergeCell ref="M33:M34"/>
    <mergeCell ref="N33:N34"/>
    <mergeCell ref="O33:O34"/>
    <mergeCell ref="P33:P34"/>
    <mergeCell ref="Q33:Q34"/>
    <mergeCell ref="R33:R34"/>
    <mergeCell ref="A33:A34"/>
    <mergeCell ref="F33:F34"/>
    <mergeCell ref="G33:G34"/>
    <mergeCell ref="H33:H34"/>
    <mergeCell ref="I33:J34"/>
    <mergeCell ref="K33:K34"/>
    <mergeCell ref="T35:T36"/>
    <mergeCell ref="N35:N36"/>
    <mergeCell ref="A37:A38"/>
    <mergeCell ref="F37:F38"/>
    <mergeCell ref="G37:G38"/>
    <mergeCell ref="H37:H38"/>
    <mergeCell ref="I37:J38"/>
    <mergeCell ref="K37:K38"/>
    <mergeCell ref="L37:L38"/>
    <mergeCell ref="M37:M38"/>
    <mergeCell ref="N37:N38"/>
    <mergeCell ref="O35:O36"/>
    <mergeCell ref="P35:P36"/>
    <mergeCell ref="Q35:Q36"/>
    <mergeCell ref="R35:R36"/>
    <mergeCell ref="S35:S36"/>
    <mergeCell ref="K39:K40"/>
    <mergeCell ref="S41:S42"/>
    <mergeCell ref="T41:T42"/>
    <mergeCell ref="O37:O38"/>
    <mergeCell ref="P37:P38"/>
    <mergeCell ref="Q37:Q38"/>
    <mergeCell ref="R37:R38"/>
    <mergeCell ref="S37:S38"/>
    <mergeCell ref="T37:T38"/>
    <mergeCell ref="N41:N42"/>
    <mergeCell ref="O41:O42"/>
    <mergeCell ref="P41:P42"/>
    <mergeCell ref="Q41:Q42"/>
    <mergeCell ref="R41:R42"/>
    <mergeCell ref="L43:L44"/>
    <mergeCell ref="M43:M44"/>
    <mergeCell ref="M41:M42"/>
    <mergeCell ref="R39:R40"/>
    <mergeCell ref="S39:S40"/>
    <mergeCell ref="T39:T40"/>
    <mergeCell ref="A41:A42"/>
    <mergeCell ref="F41:F42"/>
    <mergeCell ref="G41:G42"/>
    <mergeCell ref="H41:H42"/>
    <mergeCell ref="I41:J42"/>
    <mergeCell ref="K41:K42"/>
    <mergeCell ref="L41:L42"/>
    <mergeCell ref="L39:L40"/>
    <mergeCell ref="M39:M40"/>
    <mergeCell ref="N39:N40"/>
    <mergeCell ref="O39:O40"/>
    <mergeCell ref="P39:P40"/>
    <mergeCell ref="Q39:Q40"/>
    <mergeCell ref="A39:A40"/>
    <mergeCell ref="F39:F40"/>
    <mergeCell ref="G39:G40"/>
    <mergeCell ref="H39:H40"/>
    <mergeCell ref="I39:J40"/>
    <mergeCell ref="O45:O46"/>
    <mergeCell ref="P45:P46"/>
    <mergeCell ref="Q45:Q46"/>
    <mergeCell ref="R45:R46"/>
    <mergeCell ref="S45:S46"/>
    <mergeCell ref="T45:T46"/>
    <mergeCell ref="T43:T44"/>
    <mergeCell ref="A45:A46"/>
    <mergeCell ref="F45:F46"/>
    <mergeCell ref="G45:G46"/>
    <mergeCell ref="H45:H46"/>
    <mergeCell ref="I45:J46"/>
    <mergeCell ref="K45:K46"/>
    <mergeCell ref="L45:L46"/>
    <mergeCell ref="M45:M46"/>
    <mergeCell ref="N45:N46"/>
    <mergeCell ref="N43:N44"/>
    <mergeCell ref="O43:O44"/>
    <mergeCell ref="P43:P44"/>
    <mergeCell ref="Q43:Q44"/>
    <mergeCell ref="R43:R44"/>
    <mergeCell ref="S43:S44"/>
    <mergeCell ref="A43:A44"/>
    <mergeCell ref="F43:F44"/>
    <mergeCell ref="G43:G44"/>
    <mergeCell ref="H43:H44"/>
    <mergeCell ref="I43:J44"/>
    <mergeCell ref="K43:K44"/>
    <mergeCell ref="A49:A50"/>
    <mergeCell ref="F49:F50"/>
    <mergeCell ref="G49:G50"/>
    <mergeCell ref="H49:H50"/>
    <mergeCell ref="I49:J50"/>
    <mergeCell ref="K49:K50"/>
    <mergeCell ref="L49:L50"/>
    <mergeCell ref="L47:L48"/>
    <mergeCell ref="M47:M48"/>
    <mergeCell ref="A47:A48"/>
    <mergeCell ref="F47:F48"/>
    <mergeCell ref="G47:G48"/>
    <mergeCell ref="H47:H48"/>
    <mergeCell ref="I47:J48"/>
    <mergeCell ref="K47:K48"/>
    <mergeCell ref="H51:H52"/>
    <mergeCell ref="I51:J52"/>
    <mergeCell ref="K51:K52"/>
    <mergeCell ref="L51:L52"/>
    <mergeCell ref="M51:M52"/>
    <mergeCell ref="M49:M50"/>
    <mergeCell ref="R47:R48"/>
    <mergeCell ref="S47:S48"/>
    <mergeCell ref="T47:T48"/>
    <mergeCell ref="N47:N48"/>
    <mergeCell ref="O47:O48"/>
    <mergeCell ref="P47:P48"/>
    <mergeCell ref="Q47:Q48"/>
    <mergeCell ref="S49:S50"/>
    <mergeCell ref="T49:T50"/>
    <mergeCell ref="N49:N50"/>
    <mergeCell ref="O49:O50"/>
    <mergeCell ref="P49:P50"/>
    <mergeCell ref="Q49:Q50"/>
    <mergeCell ref="R49:R50"/>
    <mergeCell ref="T51:T52"/>
    <mergeCell ref="N51:N52"/>
    <mergeCell ref="O51:O52"/>
    <mergeCell ref="P51:P52"/>
    <mergeCell ref="O53:O54"/>
    <mergeCell ref="P53:P54"/>
    <mergeCell ref="Q53:Q54"/>
    <mergeCell ref="R53:R54"/>
    <mergeCell ref="K55:K56"/>
    <mergeCell ref="S57:S58"/>
    <mergeCell ref="T57:T58"/>
    <mergeCell ref="S53:S54"/>
    <mergeCell ref="T53:T54"/>
    <mergeCell ref="T55:T56"/>
    <mergeCell ref="R57:R58"/>
    <mergeCell ref="A53:A54"/>
    <mergeCell ref="F53:F54"/>
    <mergeCell ref="G53:G54"/>
    <mergeCell ref="H53:H54"/>
    <mergeCell ref="I53:J54"/>
    <mergeCell ref="K53:K54"/>
    <mergeCell ref="L53:L54"/>
    <mergeCell ref="M53:M54"/>
    <mergeCell ref="N53:N54"/>
    <mergeCell ref="Q51:Q52"/>
    <mergeCell ref="R51:R52"/>
    <mergeCell ref="S51:S52"/>
    <mergeCell ref="A51:A52"/>
    <mergeCell ref="F51:F52"/>
    <mergeCell ref="G51:G52"/>
    <mergeCell ref="L59:L60"/>
    <mergeCell ref="M59:M60"/>
    <mergeCell ref="M57:M58"/>
    <mergeCell ref="R55:R56"/>
    <mergeCell ref="S55:S56"/>
    <mergeCell ref="A57:A58"/>
    <mergeCell ref="F57:F58"/>
    <mergeCell ref="G57:G58"/>
    <mergeCell ref="H57:H58"/>
    <mergeCell ref="I57:J58"/>
    <mergeCell ref="K57:K58"/>
    <mergeCell ref="L57:L58"/>
    <mergeCell ref="L55:L56"/>
    <mergeCell ref="M55:M56"/>
    <mergeCell ref="N55:N56"/>
    <mergeCell ref="O55:O56"/>
    <mergeCell ref="P55:P56"/>
    <mergeCell ref="Q55:Q56"/>
    <mergeCell ref="A55:A56"/>
    <mergeCell ref="F55:F56"/>
    <mergeCell ref="G55:G56"/>
    <mergeCell ref="H55:H56"/>
    <mergeCell ref="I55:J56"/>
    <mergeCell ref="N57:N58"/>
    <mergeCell ref="O57:O58"/>
    <mergeCell ref="P57:P58"/>
    <mergeCell ref="Q57:Q58"/>
    <mergeCell ref="O61:O62"/>
    <mergeCell ref="P61:P62"/>
    <mergeCell ref="Q61:Q62"/>
    <mergeCell ref="R61:R62"/>
    <mergeCell ref="S61:S62"/>
    <mergeCell ref="T61:T62"/>
    <mergeCell ref="T59:T60"/>
    <mergeCell ref="A61:A62"/>
    <mergeCell ref="F61:F62"/>
    <mergeCell ref="G61:G62"/>
    <mergeCell ref="H61:H62"/>
    <mergeCell ref="I61:J62"/>
    <mergeCell ref="K61:K62"/>
    <mergeCell ref="L61:L62"/>
    <mergeCell ref="M61:M62"/>
    <mergeCell ref="N61:N62"/>
    <mergeCell ref="N59:N60"/>
    <mergeCell ref="O59:O60"/>
    <mergeCell ref="P59:P60"/>
    <mergeCell ref="Q59:Q60"/>
    <mergeCell ref="R59:R60"/>
    <mergeCell ref="S59:S60"/>
    <mergeCell ref="A59:A60"/>
    <mergeCell ref="F59:F60"/>
    <mergeCell ref="G59:G60"/>
    <mergeCell ref="H59:H60"/>
    <mergeCell ref="I59:J60"/>
    <mergeCell ref="K59:K60"/>
    <mergeCell ref="A65:A66"/>
    <mergeCell ref="F65:F66"/>
    <mergeCell ref="G65:G66"/>
    <mergeCell ref="H65:H66"/>
    <mergeCell ref="I65:J66"/>
    <mergeCell ref="K65:K66"/>
    <mergeCell ref="L65:L66"/>
    <mergeCell ref="L63:L64"/>
    <mergeCell ref="M63:M64"/>
    <mergeCell ref="A63:A64"/>
    <mergeCell ref="F63:F64"/>
    <mergeCell ref="G63:G64"/>
    <mergeCell ref="H63:H64"/>
    <mergeCell ref="I63:J64"/>
    <mergeCell ref="K63:K64"/>
    <mergeCell ref="H67:H68"/>
    <mergeCell ref="I67:J68"/>
    <mergeCell ref="K67:K68"/>
    <mergeCell ref="L67:L68"/>
    <mergeCell ref="M67:M68"/>
    <mergeCell ref="M65:M66"/>
    <mergeCell ref="R63:R64"/>
    <mergeCell ref="S63:S64"/>
    <mergeCell ref="T63:T64"/>
    <mergeCell ref="N63:N64"/>
    <mergeCell ref="O63:O64"/>
    <mergeCell ref="P63:P64"/>
    <mergeCell ref="Q63:Q64"/>
    <mergeCell ref="S65:S66"/>
    <mergeCell ref="T65:T66"/>
    <mergeCell ref="N65:N66"/>
    <mergeCell ref="O65:O66"/>
    <mergeCell ref="P65:P66"/>
    <mergeCell ref="Q65:Q66"/>
    <mergeCell ref="R65:R66"/>
    <mergeCell ref="T67:T68"/>
    <mergeCell ref="N67:N68"/>
    <mergeCell ref="O67:O68"/>
    <mergeCell ref="P67:P68"/>
    <mergeCell ref="O69:O70"/>
    <mergeCell ref="P69:P70"/>
    <mergeCell ref="Q69:Q70"/>
    <mergeCell ref="R69:R70"/>
    <mergeCell ref="K71:K72"/>
    <mergeCell ref="S73:S74"/>
    <mergeCell ref="T73:T74"/>
    <mergeCell ref="S69:S70"/>
    <mergeCell ref="T69:T70"/>
    <mergeCell ref="T71:T72"/>
    <mergeCell ref="R73:R74"/>
    <mergeCell ref="A69:A70"/>
    <mergeCell ref="F69:F70"/>
    <mergeCell ref="G69:G70"/>
    <mergeCell ref="H69:H70"/>
    <mergeCell ref="I69:J70"/>
    <mergeCell ref="K69:K70"/>
    <mergeCell ref="L69:L70"/>
    <mergeCell ref="M69:M70"/>
    <mergeCell ref="N69:N70"/>
    <mergeCell ref="Q67:Q68"/>
    <mergeCell ref="R67:R68"/>
    <mergeCell ref="S67:S68"/>
    <mergeCell ref="A67:A68"/>
    <mergeCell ref="F67:F68"/>
    <mergeCell ref="G67:G68"/>
    <mergeCell ref="L75:L76"/>
    <mergeCell ref="M75:M76"/>
    <mergeCell ref="M73:M74"/>
    <mergeCell ref="R71:R72"/>
    <mergeCell ref="S71:S72"/>
    <mergeCell ref="A73:A74"/>
    <mergeCell ref="B73:F74"/>
    <mergeCell ref="G73:G74"/>
    <mergeCell ref="H73:H74"/>
    <mergeCell ref="I73:J74"/>
    <mergeCell ref="K73:K74"/>
    <mergeCell ref="L73:L74"/>
    <mergeCell ref="L71:L72"/>
    <mergeCell ref="M71:M72"/>
    <mergeCell ref="N71:N72"/>
    <mergeCell ref="O71:O72"/>
    <mergeCell ref="P71:P72"/>
    <mergeCell ref="Q71:Q72"/>
    <mergeCell ref="A71:A72"/>
    <mergeCell ref="G71:G72"/>
    <mergeCell ref="H71:H72"/>
    <mergeCell ref="I71:J72"/>
    <mergeCell ref="N73:N74"/>
    <mergeCell ref="O73:O74"/>
    <mergeCell ref="P73:P74"/>
    <mergeCell ref="Q73:Q74"/>
    <mergeCell ref="F71:F72"/>
    <mergeCell ref="P77:P78"/>
    <mergeCell ref="Q77:Q78"/>
    <mergeCell ref="R77:R78"/>
    <mergeCell ref="S77:S78"/>
    <mergeCell ref="T77:T78"/>
    <mergeCell ref="T75:T76"/>
    <mergeCell ref="A77:A78"/>
    <mergeCell ref="B77:F78"/>
    <mergeCell ref="G77:G78"/>
    <mergeCell ref="H77:H78"/>
    <mergeCell ref="I77:J78"/>
    <mergeCell ref="K77:K78"/>
    <mergeCell ref="L77:L78"/>
    <mergeCell ref="M77:M78"/>
    <mergeCell ref="N77:N78"/>
    <mergeCell ref="N75:N76"/>
    <mergeCell ref="O75:O76"/>
    <mergeCell ref="P75:P76"/>
    <mergeCell ref="Q75:Q76"/>
    <mergeCell ref="R75:R76"/>
    <mergeCell ref="S75:S76"/>
    <mergeCell ref="A75:A76"/>
    <mergeCell ref="B75:F76"/>
    <mergeCell ref="A79:A80"/>
    <mergeCell ref="B79:F80"/>
    <mergeCell ref="G79:G80"/>
    <mergeCell ref="H79:H80"/>
    <mergeCell ref="I79:J80"/>
    <mergeCell ref="K79:K80"/>
    <mergeCell ref="M87:O87"/>
    <mergeCell ref="G75:G76"/>
    <mergeCell ref="H75:H76"/>
    <mergeCell ref="I75:J76"/>
    <mergeCell ref="K75:K76"/>
    <mergeCell ref="L79:L80"/>
    <mergeCell ref="M79:M80"/>
    <mergeCell ref="N79:N80"/>
    <mergeCell ref="O79:O80"/>
    <mergeCell ref="O77:O78"/>
    <mergeCell ref="A81:A82"/>
    <mergeCell ref="B81:F82"/>
    <mergeCell ref="G81:G82"/>
    <mergeCell ref="H81:H82"/>
    <mergeCell ref="I81:J82"/>
    <mergeCell ref="K81:K82"/>
    <mergeCell ref="L81:L82"/>
    <mergeCell ref="M93:O93"/>
    <mergeCell ref="M89:O89"/>
    <mergeCell ref="M91:O91"/>
    <mergeCell ref="R79:R80"/>
    <mergeCell ref="S79:S80"/>
    <mergeCell ref="T79:T80"/>
    <mergeCell ref="M84:O84"/>
    <mergeCell ref="Q79:Q80"/>
    <mergeCell ref="P79:P80"/>
    <mergeCell ref="M81:M82"/>
    <mergeCell ref="N81:N82"/>
    <mergeCell ref="O81:O82"/>
    <mergeCell ref="P81:P82"/>
    <mergeCell ref="Q81:Q82"/>
    <mergeCell ref="R81:R82"/>
    <mergeCell ref="S81:S82"/>
    <mergeCell ref="T81:T82"/>
    <mergeCell ref="M86:O86"/>
    <mergeCell ref="Q87:R87"/>
    <mergeCell ref="M90:O90"/>
  </mergeCells>
  <dataValidations count="2">
    <dataValidation type="list" allowBlank="1" showInputMessage="1" showErrorMessage="1" sqref="G13">
      <formula1>#REF!</formula1>
    </dataValidation>
    <dataValidation type="list" allowBlank="1" showInputMessage="1" showErrorMessage="1" sqref="S31 S37:S76 S35 S33">
      <formula1>$A$95:$A$115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S317"/>
  <sheetViews>
    <sheetView showGridLines="0" topLeftCell="A52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155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247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248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3:L34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M35:M36"/>
    <mergeCell ref="M33:M34"/>
    <mergeCell ref="N33:N34"/>
    <mergeCell ref="O33:O34"/>
    <mergeCell ref="P33:P34"/>
    <mergeCell ref="Q33:Q34"/>
    <mergeCell ref="R33:R34"/>
    <mergeCell ref="A33:A34"/>
    <mergeCell ref="F33:F34"/>
    <mergeCell ref="G33:G34"/>
    <mergeCell ref="H33:H34"/>
    <mergeCell ref="I33:J34"/>
    <mergeCell ref="K33:K34"/>
    <mergeCell ref="T35:T36"/>
    <mergeCell ref="N35:N36"/>
    <mergeCell ref="A37:A38"/>
    <mergeCell ref="F37:F38"/>
    <mergeCell ref="G37:G38"/>
    <mergeCell ref="H37:H38"/>
    <mergeCell ref="I37:J38"/>
    <mergeCell ref="K37:K38"/>
    <mergeCell ref="L37:L38"/>
    <mergeCell ref="M37:M38"/>
    <mergeCell ref="N37:N38"/>
    <mergeCell ref="O35:O36"/>
    <mergeCell ref="P35:P36"/>
    <mergeCell ref="Q35:Q36"/>
    <mergeCell ref="R35:R36"/>
    <mergeCell ref="S35:S36"/>
    <mergeCell ref="K39:K40"/>
    <mergeCell ref="S41:S42"/>
    <mergeCell ref="T41:T42"/>
    <mergeCell ref="O37:O38"/>
    <mergeCell ref="P37:P38"/>
    <mergeCell ref="Q37:Q38"/>
    <mergeCell ref="R37:R38"/>
    <mergeCell ref="S37:S38"/>
    <mergeCell ref="T37:T38"/>
    <mergeCell ref="N41:N42"/>
    <mergeCell ref="O41:O42"/>
    <mergeCell ref="P41:P42"/>
    <mergeCell ref="Q41:Q42"/>
    <mergeCell ref="R41:R42"/>
    <mergeCell ref="L43:L44"/>
    <mergeCell ref="M43:M44"/>
    <mergeCell ref="M41:M42"/>
    <mergeCell ref="R39:R40"/>
    <mergeCell ref="S39:S40"/>
    <mergeCell ref="T39:T40"/>
    <mergeCell ref="A41:A42"/>
    <mergeCell ref="F41:F42"/>
    <mergeCell ref="G41:G42"/>
    <mergeCell ref="H41:H42"/>
    <mergeCell ref="I41:J42"/>
    <mergeCell ref="K41:K42"/>
    <mergeCell ref="L41:L42"/>
    <mergeCell ref="L39:L40"/>
    <mergeCell ref="M39:M40"/>
    <mergeCell ref="N39:N40"/>
    <mergeCell ref="O39:O40"/>
    <mergeCell ref="P39:P40"/>
    <mergeCell ref="Q39:Q40"/>
    <mergeCell ref="A39:A40"/>
    <mergeCell ref="F39:F40"/>
    <mergeCell ref="G39:G40"/>
    <mergeCell ref="H39:H40"/>
    <mergeCell ref="I39:J40"/>
    <mergeCell ref="O45:O46"/>
    <mergeCell ref="P45:P46"/>
    <mergeCell ref="Q45:Q46"/>
    <mergeCell ref="R45:R46"/>
    <mergeCell ref="S45:S46"/>
    <mergeCell ref="T45:T46"/>
    <mergeCell ref="T43:T44"/>
    <mergeCell ref="A45:A46"/>
    <mergeCell ref="F45:F46"/>
    <mergeCell ref="G45:G46"/>
    <mergeCell ref="H45:H46"/>
    <mergeCell ref="I45:J46"/>
    <mergeCell ref="K45:K46"/>
    <mergeCell ref="L45:L46"/>
    <mergeCell ref="M45:M46"/>
    <mergeCell ref="N45:N46"/>
    <mergeCell ref="N43:N44"/>
    <mergeCell ref="O43:O44"/>
    <mergeCell ref="P43:P44"/>
    <mergeCell ref="Q43:Q44"/>
    <mergeCell ref="R43:R44"/>
    <mergeCell ref="S43:S44"/>
    <mergeCell ref="A43:A44"/>
    <mergeCell ref="F43:F44"/>
    <mergeCell ref="G43:G44"/>
    <mergeCell ref="H43:H44"/>
    <mergeCell ref="I43:J44"/>
    <mergeCell ref="K43:K44"/>
    <mergeCell ref="A49:A50"/>
    <mergeCell ref="F49:F50"/>
    <mergeCell ref="G49:G50"/>
    <mergeCell ref="H49:H50"/>
    <mergeCell ref="I49:J50"/>
    <mergeCell ref="K49:K50"/>
    <mergeCell ref="L49:L50"/>
    <mergeCell ref="L47:L48"/>
    <mergeCell ref="M47:M48"/>
    <mergeCell ref="A47:A48"/>
    <mergeCell ref="F47:F48"/>
    <mergeCell ref="G47:G48"/>
    <mergeCell ref="H47:H48"/>
    <mergeCell ref="I47:J48"/>
    <mergeCell ref="K47:K48"/>
    <mergeCell ref="H51:H52"/>
    <mergeCell ref="I51:J52"/>
    <mergeCell ref="K51:K52"/>
    <mergeCell ref="L51:L52"/>
    <mergeCell ref="M51:M52"/>
    <mergeCell ref="M49:M50"/>
    <mergeCell ref="R47:R48"/>
    <mergeCell ref="S47:S48"/>
    <mergeCell ref="T47:T48"/>
    <mergeCell ref="N47:N48"/>
    <mergeCell ref="O47:O48"/>
    <mergeCell ref="P47:P48"/>
    <mergeCell ref="Q47:Q48"/>
    <mergeCell ref="S49:S50"/>
    <mergeCell ref="T49:T50"/>
    <mergeCell ref="N49:N50"/>
    <mergeCell ref="O49:O50"/>
    <mergeCell ref="P49:P50"/>
    <mergeCell ref="Q49:Q50"/>
    <mergeCell ref="R49:R50"/>
    <mergeCell ref="T51:T52"/>
    <mergeCell ref="N51:N52"/>
    <mergeCell ref="O51:O52"/>
    <mergeCell ref="P51:P52"/>
    <mergeCell ref="O53:O54"/>
    <mergeCell ref="P53:P54"/>
    <mergeCell ref="Q53:Q54"/>
    <mergeCell ref="R53:R54"/>
    <mergeCell ref="K55:K56"/>
    <mergeCell ref="S57:S58"/>
    <mergeCell ref="T57:T58"/>
    <mergeCell ref="S53:S54"/>
    <mergeCell ref="T53:T54"/>
    <mergeCell ref="T55:T56"/>
    <mergeCell ref="R57:R58"/>
    <mergeCell ref="A53:A54"/>
    <mergeCell ref="F53:F54"/>
    <mergeCell ref="G53:G54"/>
    <mergeCell ref="H53:H54"/>
    <mergeCell ref="I53:J54"/>
    <mergeCell ref="K53:K54"/>
    <mergeCell ref="L53:L54"/>
    <mergeCell ref="M53:M54"/>
    <mergeCell ref="N53:N54"/>
    <mergeCell ref="Q51:Q52"/>
    <mergeCell ref="R51:R52"/>
    <mergeCell ref="S51:S52"/>
    <mergeCell ref="A51:A52"/>
    <mergeCell ref="F51:F52"/>
    <mergeCell ref="G51:G52"/>
    <mergeCell ref="L59:L60"/>
    <mergeCell ref="M59:M60"/>
    <mergeCell ref="M57:M58"/>
    <mergeCell ref="R55:R56"/>
    <mergeCell ref="S55:S56"/>
    <mergeCell ref="A57:A58"/>
    <mergeCell ref="F57:F58"/>
    <mergeCell ref="G57:G58"/>
    <mergeCell ref="H57:H58"/>
    <mergeCell ref="I57:J58"/>
    <mergeCell ref="K57:K58"/>
    <mergeCell ref="L57:L58"/>
    <mergeCell ref="L55:L56"/>
    <mergeCell ref="M55:M56"/>
    <mergeCell ref="N55:N56"/>
    <mergeCell ref="O55:O56"/>
    <mergeCell ref="P55:P56"/>
    <mergeCell ref="Q55:Q56"/>
    <mergeCell ref="A55:A56"/>
    <mergeCell ref="F55:F56"/>
    <mergeCell ref="G55:G56"/>
    <mergeCell ref="H55:H56"/>
    <mergeCell ref="I55:J56"/>
    <mergeCell ref="N57:N58"/>
    <mergeCell ref="O57:O58"/>
    <mergeCell ref="P57:P58"/>
    <mergeCell ref="Q57:Q58"/>
    <mergeCell ref="O61:O62"/>
    <mergeCell ref="P61:P62"/>
    <mergeCell ref="Q61:Q62"/>
    <mergeCell ref="R61:R62"/>
    <mergeCell ref="S61:S62"/>
    <mergeCell ref="T61:T62"/>
    <mergeCell ref="T59:T60"/>
    <mergeCell ref="A61:A62"/>
    <mergeCell ref="F61:F62"/>
    <mergeCell ref="G61:G62"/>
    <mergeCell ref="H61:H62"/>
    <mergeCell ref="I61:J62"/>
    <mergeCell ref="K61:K62"/>
    <mergeCell ref="L61:L62"/>
    <mergeCell ref="M61:M62"/>
    <mergeCell ref="N61:N62"/>
    <mergeCell ref="N59:N60"/>
    <mergeCell ref="O59:O60"/>
    <mergeCell ref="P59:P60"/>
    <mergeCell ref="Q59:Q60"/>
    <mergeCell ref="R59:R60"/>
    <mergeCell ref="S59:S60"/>
    <mergeCell ref="A59:A60"/>
    <mergeCell ref="F59:F60"/>
    <mergeCell ref="G59:G60"/>
    <mergeCell ref="H59:H60"/>
    <mergeCell ref="I59:J60"/>
    <mergeCell ref="K59:K60"/>
    <mergeCell ref="A65:A66"/>
    <mergeCell ref="F65:F66"/>
    <mergeCell ref="G65:G66"/>
    <mergeCell ref="H65:H66"/>
    <mergeCell ref="I65:J66"/>
    <mergeCell ref="K65:K66"/>
    <mergeCell ref="L65:L66"/>
    <mergeCell ref="L63:L64"/>
    <mergeCell ref="M63:M64"/>
    <mergeCell ref="A63:A64"/>
    <mergeCell ref="F63:F64"/>
    <mergeCell ref="G63:G64"/>
    <mergeCell ref="H63:H64"/>
    <mergeCell ref="I63:J64"/>
    <mergeCell ref="K63:K64"/>
    <mergeCell ref="H67:H68"/>
    <mergeCell ref="I67:J68"/>
    <mergeCell ref="K67:K68"/>
    <mergeCell ref="L67:L68"/>
    <mergeCell ref="M67:M68"/>
    <mergeCell ref="M65:M66"/>
    <mergeCell ref="R63:R64"/>
    <mergeCell ref="S63:S64"/>
    <mergeCell ref="T63:T64"/>
    <mergeCell ref="N63:N64"/>
    <mergeCell ref="O63:O64"/>
    <mergeCell ref="P63:P64"/>
    <mergeCell ref="Q63:Q64"/>
    <mergeCell ref="S65:S66"/>
    <mergeCell ref="T65:T66"/>
    <mergeCell ref="N65:N66"/>
    <mergeCell ref="O65:O66"/>
    <mergeCell ref="P65:P66"/>
    <mergeCell ref="Q65:Q66"/>
    <mergeCell ref="R65:R66"/>
    <mergeCell ref="T67:T68"/>
    <mergeCell ref="N67:N68"/>
    <mergeCell ref="O67:O68"/>
    <mergeCell ref="P67:P68"/>
    <mergeCell ref="O69:O70"/>
    <mergeCell ref="P69:P70"/>
    <mergeCell ref="Q69:Q70"/>
    <mergeCell ref="R69:R70"/>
    <mergeCell ref="K71:K72"/>
    <mergeCell ref="S73:S74"/>
    <mergeCell ref="T73:T74"/>
    <mergeCell ref="S69:S70"/>
    <mergeCell ref="T69:T70"/>
    <mergeCell ref="T71:T72"/>
    <mergeCell ref="R73:R74"/>
    <mergeCell ref="A69:A70"/>
    <mergeCell ref="F69:F70"/>
    <mergeCell ref="G69:G70"/>
    <mergeCell ref="H69:H70"/>
    <mergeCell ref="I69:J70"/>
    <mergeCell ref="K69:K70"/>
    <mergeCell ref="L69:L70"/>
    <mergeCell ref="M69:M70"/>
    <mergeCell ref="N69:N70"/>
    <mergeCell ref="Q67:Q68"/>
    <mergeCell ref="R67:R68"/>
    <mergeCell ref="S67:S68"/>
    <mergeCell ref="A67:A68"/>
    <mergeCell ref="F67:F68"/>
    <mergeCell ref="G67:G68"/>
    <mergeCell ref="L75:L76"/>
    <mergeCell ref="M75:M76"/>
    <mergeCell ref="M73:M74"/>
    <mergeCell ref="R71:R72"/>
    <mergeCell ref="S71:S72"/>
    <mergeCell ref="A73:A74"/>
    <mergeCell ref="B73:F74"/>
    <mergeCell ref="G73:G74"/>
    <mergeCell ref="H73:H74"/>
    <mergeCell ref="I73:J74"/>
    <mergeCell ref="K73:K74"/>
    <mergeCell ref="L73:L74"/>
    <mergeCell ref="L71:L72"/>
    <mergeCell ref="M71:M72"/>
    <mergeCell ref="N71:N72"/>
    <mergeCell ref="O71:O72"/>
    <mergeCell ref="P71:P72"/>
    <mergeCell ref="Q71:Q72"/>
    <mergeCell ref="A71:A72"/>
    <mergeCell ref="G71:G72"/>
    <mergeCell ref="H71:H72"/>
    <mergeCell ref="I71:J72"/>
    <mergeCell ref="N73:N74"/>
    <mergeCell ref="O73:O74"/>
    <mergeCell ref="P73:P74"/>
    <mergeCell ref="Q73:Q74"/>
    <mergeCell ref="F71:F72"/>
    <mergeCell ref="P77:P78"/>
    <mergeCell ref="Q77:Q78"/>
    <mergeCell ref="R77:R78"/>
    <mergeCell ref="S77:S78"/>
    <mergeCell ref="T77:T78"/>
    <mergeCell ref="T75:T76"/>
    <mergeCell ref="A77:A78"/>
    <mergeCell ref="B77:F78"/>
    <mergeCell ref="G77:G78"/>
    <mergeCell ref="H77:H78"/>
    <mergeCell ref="I77:J78"/>
    <mergeCell ref="K77:K78"/>
    <mergeCell ref="L77:L78"/>
    <mergeCell ref="M77:M78"/>
    <mergeCell ref="N77:N78"/>
    <mergeCell ref="N75:N76"/>
    <mergeCell ref="O75:O76"/>
    <mergeCell ref="P75:P76"/>
    <mergeCell ref="Q75:Q76"/>
    <mergeCell ref="R75:R76"/>
    <mergeCell ref="S75:S76"/>
    <mergeCell ref="A75:A76"/>
    <mergeCell ref="B75:F76"/>
    <mergeCell ref="A79:A80"/>
    <mergeCell ref="B79:F80"/>
    <mergeCell ref="G79:G80"/>
    <mergeCell ref="H79:H80"/>
    <mergeCell ref="I79:J80"/>
    <mergeCell ref="K79:K80"/>
    <mergeCell ref="M87:O87"/>
    <mergeCell ref="G75:G76"/>
    <mergeCell ref="H75:H76"/>
    <mergeCell ref="I75:J76"/>
    <mergeCell ref="K75:K76"/>
    <mergeCell ref="L79:L80"/>
    <mergeCell ref="M79:M80"/>
    <mergeCell ref="N79:N80"/>
    <mergeCell ref="O79:O80"/>
    <mergeCell ref="O77:O78"/>
    <mergeCell ref="A81:A82"/>
    <mergeCell ref="B81:F82"/>
    <mergeCell ref="G81:G82"/>
    <mergeCell ref="H81:H82"/>
    <mergeCell ref="I81:J82"/>
    <mergeCell ref="K81:K82"/>
    <mergeCell ref="L81:L82"/>
    <mergeCell ref="M93:O93"/>
    <mergeCell ref="M89:O89"/>
    <mergeCell ref="M91:O91"/>
    <mergeCell ref="R79:R80"/>
    <mergeCell ref="S79:S80"/>
    <mergeCell ref="T79:T80"/>
    <mergeCell ref="M84:O84"/>
    <mergeCell ref="Q79:Q80"/>
    <mergeCell ref="P79:P80"/>
    <mergeCell ref="M81:M82"/>
    <mergeCell ref="N81:N82"/>
    <mergeCell ref="O81:O82"/>
    <mergeCell ref="P81:P82"/>
    <mergeCell ref="Q81:Q82"/>
    <mergeCell ref="R81:R82"/>
    <mergeCell ref="S81:S82"/>
    <mergeCell ref="T81:T82"/>
    <mergeCell ref="M86:O86"/>
    <mergeCell ref="Q87:R87"/>
    <mergeCell ref="M90:O90"/>
  </mergeCells>
  <dataValidations count="2">
    <dataValidation type="list" allowBlank="1" showInputMessage="1" showErrorMessage="1" sqref="G13">
      <formula1>#REF!</formula1>
    </dataValidation>
    <dataValidation type="list" allowBlank="1" showInputMessage="1" showErrorMessage="1" sqref="S31 S37:S76 S35 S33">
      <formula1>$A$95:$A$115</formula1>
    </dataValidation>
  </dataValidation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46"/>
  <sheetViews>
    <sheetView showGridLines="0" topLeftCell="A10" workbookViewId="0">
      <selection sqref="A1:H1"/>
    </sheetView>
  </sheetViews>
  <sheetFormatPr defaultColWidth="8.85546875" defaultRowHeight="12.75" x14ac:dyDescent="0.2"/>
  <cols>
    <col min="1" max="1" width="59.42578125" style="2" customWidth="1"/>
    <col min="2" max="2" width="16.5703125" style="88" customWidth="1"/>
    <col min="3" max="3" width="10.5703125" style="2" customWidth="1"/>
    <col min="4" max="5" width="8.85546875" style="2"/>
    <col min="6" max="6" width="8.85546875" style="88"/>
    <col min="7" max="16384" width="8.85546875" style="2"/>
  </cols>
  <sheetData>
    <row r="1" spans="1:9" ht="18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</row>
    <row r="2" spans="1:9" ht="18" x14ac:dyDescent="0.25">
      <c r="A2" s="225" t="s">
        <v>63</v>
      </c>
      <c r="B2" s="169"/>
      <c r="C2" s="49"/>
      <c r="D2" s="149"/>
      <c r="E2" s="49"/>
      <c r="F2" s="129"/>
      <c r="G2" s="49"/>
      <c r="H2" s="49"/>
    </row>
    <row r="5" spans="1:9" ht="15.75" x14ac:dyDescent="0.25">
      <c r="A5" s="6" t="s">
        <v>146</v>
      </c>
      <c r="B5" s="234"/>
    </row>
    <row r="6" spans="1:9" x14ac:dyDescent="0.2">
      <c r="A6" s="98" t="s">
        <v>66</v>
      </c>
      <c r="B6" s="137">
        <f>'SDA 1'!$B$14+'SDA 1'!$C$14</f>
        <v>0</v>
      </c>
      <c r="D6" s="143" t="s">
        <v>70</v>
      </c>
      <c r="E6" s="143"/>
      <c r="F6" s="137">
        <f>IFERROR('SDA 1'!$G$20,0)</f>
        <v>0</v>
      </c>
      <c r="G6" s="156"/>
      <c r="H6" s="156"/>
    </row>
    <row r="7" spans="1:9" x14ac:dyDescent="0.2">
      <c r="A7" s="98" t="s">
        <v>67</v>
      </c>
      <c r="B7" s="137">
        <f>'SDA 1'!$B$15+'SDA 1'!$C$15</f>
        <v>0</v>
      </c>
      <c r="D7" s="178" t="s">
        <v>88</v>
      </c>
      <c r="E7" s="143"/>
      <c r="F7" s="137" t="str">
        <f>IFERROR('SDA 1'!$G$25,0)</f>
        <v>NA</v>
      </c>
      <c r="G7" s="28"/>
      <c r="H7" s="28"/>
    </row>
    <row r="8" spans="1:9" x14ac:dyDescent="0.2">
      <c r="A8" s="98" t="s">
        <v>68</v>
      </c>
      <c r="B8" s="137">
        <f>'SDA 1'!$B$16+'SDA 1'!$C$16</f>
        <v>0</v>
      </c>
      <c r="H8" s="32"/>
    </row>
    <row r="9" spans="1:9" x14ac:dyDescent="0.2">
      <c r="A9" s="98" t="s">
        <v>143</v>
      </c>
      <c r="B9" s="137">
        <f>'SDA 1'!$B$18+'SDA 1'!$C$18</f>
        <v>0</v>
      </c>
      <c r="H9" s="32"/>
    </row>
    <row r="10" spans="1:9" x14ac:dyDescent="0.2">
      <c r="A10" s="98" t="s">
        <v>69</v>
      </c>
      <c r="B10" s="137">
        <f>'SDA 1'!$B$19+'SDA 1'!$C$19</f>
        <v>0</v>
      </c>
      <c r="D10" s="83"/>
      <c r="E10" s="83"/>
      <c r="F10" s="128"/>
      <c r="G10" s="28"/>
      <c r="H10" s="28"/>
      <c r="I10" s="28"/>
    </row>
    <row r="11" spans="1:9" x14ac:dyDescent="0.2">
      <c r="A11" s="28"/>
      <c r="B11" s="119"/>
      <c r="C11" s="28"/>
      <c r="D11" s="28"/>
      <c r="E11" s="28"/>
      <c r="F11" s="119"/>
      <c r="G11" s="28"/>
      <c r="H11" s="28"/>
      <c r="I11" s="28"/>
    </row>
    <row r="12" spans="1:9" x14ac:dyDescent="0.2">
      <c r="A12" s="98" t="s">
        <v>48</v>
      </c>
      <c r="B12" s="137">
        <f>'SDA 1'!$P$84</f>
        <v>0</v>
      </c>
      <c r="C12" s="28"/>
      <c r="D12" s="28"/>
      <c r="E12" s="28"/>
      <c r="F12" s="119"/>
      <c r="G12" s="28"/>
      <c r="H12" s="28"/>
      <c r="I12" s="28"/>
    </row>
    <row r="13" spans="1:9" x14ac:dyDescent="0.2">
      <c r="A13" s="98" t="s">
        <v>49</v>
      </c>
      <c r="B13" s="137">
        <f>IF(F6-B12&gt;0,F6-B12,0)</f>
        <v>0</v>
      </c>
      <c r="C13" s="28"/>
      <c r="D13" s="28"/>
      <c r="E13" s="28"/>
      <c r="F13" s="119"/>
      <c r="G13" s="28"/>
      <c r="H13" s="28"/>
      <c r="I13" s="28"/>
    </row>
    <row r="14" spans="1:9" x14ac:dyDescent="0.2">
      <c r="A14" s="164" t="s">
        <v>79</v>
      </c>
      <c r="B14" s="137">
        <f>B13*7.48</f>
        <v>0</v>
      </c>
      <c r="C14" s="28"/>
      <c r="D14" s="28"/>
      <c r="E14" s="28"/>
      <c r="F14" s="119"/>
      <c r="G14" s="28"/>
      <c r="H14" s="28"/>
      <c r="I14" s="28"/>
    </row>
    <row r="15" spans="1:9" x14ac:dyDescent="0.2">
      <c r="A15" s="87" t="s">
        <v>64</v>
      </c>
      <c r="B15" s="67" t="str">
        <f>IFERROR('SDA 1'!$P$89,NA())</f>
        <v>N/A</v>
      </c>
      <c r="C15" s="28"/>
      <c r="D15" s="28"/>
      <c r="E15" s="28"/>
      <c r="F15" s="119"/>
      <c r="G15" s="28"/>
      <c r="H15" s="28"/>
      <c r="I15" s="28"/>
    </row>
    <row r="16" spans="1:9" x14ac:dyDescent="0.2">
      <c r="A16" s="87" t="s">
        <v>116</v>
      </c>
      <c r="B16" s="67" t="str">
        <f>IFERROR('SDA 1'!$P$90,NA())</f>
        <v>N/A</v>
      </c>
      <c r="C16" s="28"/>
      <c r="D16" s="28"/>
      <c r="E16" s="28"/>
      <c r="F16" s="119"/>
      <c r="G16" s="28"/>
      <c r="H16" s="28"/>
      <c r="I16" s="28"/>
    </row>
    <row r="17" spans="1:9" x14ac:dyDescent="0.2">
      <c r="A17" s="28"/>
      <c r="B17" s="119"/>
      <c r="C17" s="28"/>
      <c r="D17" s="28"/>
      <c r="E17" s="28"/>
      <c r="F17" s="119"/>
      <c r="G17" s="28"/>
      <c r="H17" s="28"/>
      <c r="I17" s="28"/>
    </row>
    <row r="18" spans="1:9" x14ac:dyDescent="0.2">
      <c r="A18" s="165" t="str">
        <f>'SDA 1'!$M$91</f>
        <v>Treatment Required?</v>
      </c>
      <c r="B18" s="170" t="str">
        <f>IFERROR('SDA 1'!$P$91,NA())</f>
        <v>No</v>
      </c>
      <c r="C18" s="28"/>
      <c r="D18" s="28"/>
      <c r="E18" s="28"/>
      <c r="F18" s="119"/>
      <c r="G18" s="28"/>
      <c r="H18" s="28"/>
      <c r="I18" s="28"/>
    </row>
    <row r="19" spans="1:9" x14ac:dyDescent="0.2">
      <c r="A19" s="165" t="str">
        <f>'SDA 1'!$S$84</f>
        <v>Volume Treated (cubic feet)</v>
      </c>
      <c r="B19" s="170">
        <f>'SDA 1'!$T$84</f>
        <v>0</v>
      </c>
      <c r="C19" s="28"/>
      <c r="D19" s="28"/>
      <c r="E19" s="28"/>
      <c r="F19" s="119"/>
      <c r="G19" s="28"/>
      <c r="H19" s="28"/>
      <c r="I19" s="28"/>
    </row>
    <row r="20" spans="1:9" x14ac:dyDescent="0.2">
      <c r="A20" s="165" t="str">
        <f>'SDA 1'!$S$86</f>
        <v>Volume Remaining to Treat 50% of the SWRv (cubic feet)</v>
      </c>
      <c r="B20" s="170">
        <f>'SDA 1'!$T$86</f>
        <v>0</v>
      </c>
      <c r="C20" s="28"/>
      <c r="D20" s="28"/>
      <c r="E20" s="28"/>
      <c r="F20" s="119"/>
      <c r="G20" s="28"/>
      <c r="H20" s="28"/>
      <c r="I20" s="28"/>
    </row>
    <row r="21" spans="1:9" x14ac:dyDescent="0.2">
      <c r="A21" s="165" t="str">
        <f>'SDA 1'!$S$87</f>
        <v>Volume Remaining to Treat 50% of the SWRv (gallons)</v>
      </c>
      <c r="B21" s="170">
        <f>'SDA 1'!$T$87</f>
        <v>0</v>
      </c>
      <c r="C21" s="28"/>
      <c r="D21" s="28"/>
      <c r="E21" s="28"/>
      <c r="F21" s="119"/>
      <c r="G21" s="28"/>
      <c r="H21" s="28"/>
      <c r="I21" s="28"/>
    </row>
    <row r="22" spans="1:9" x14ac:dyDescent="0.2">
      <c r="A22" s="165" t="str">
        <f>'SDA 1'!$S$89</f>
        <v>Volume Remaining to Treat WQTv (cubic feet)</v>
      </c>
      <c r="B22" s="170" t="str">
        <f>'SDA 1'!$T$89</f>
        <v>N/A</v>
      </c>
      <c r="C22" s="28"/>
      <c r="D22" s="28"/>
      <c r="E22" s="28"/>
      <c r="F22" s="119"/>
      <c r="G22" s="28"/>
      <c r="H22" s="28"/>
      <c r="I22" s="28"/>
    </row>
    <row r="23" spans="1:9" x14ac:dyDescent="0.2">
      <c r="A23" s="165" t="str">
        <f>'SDA 1'!$S$90</f>
        <v>Volume Remaining to Treat WQTv (gallons)</v>
      </c>
      <c r="B23" s="170" t="str">
        <f>'SDA 1'!$T$90</f>
        <v>N/A</v>
      </c>
      <c r="C23" s="28"/>
      <c r="D23" s="28"/>
      <c r="E23" s="28"/>
      <c r="F23" s="119"/>
      <c r="G23" s="28"/>
      <c r="H23" s="28"/>
      <c r="I23" s="28"/>
    </row>
    <row r="24" spans="1:9" x14ac:dyDescent="0.2">
      <c r="A24" s="28"/>
      <c r="B24" s="119"/>
      <c r="C24" s="28"/>
      <c r="D24" s="28"/>
      <c r="E24" s="28"/>
      <c r="F24" s="119"/>
      <c r="G24" s="28"/>
      <c r="H24" s="28"/>
      <c r="I24" s="28"/>
    </row>
    <row r="25" spans="1:9" x14ac:dyDescent="0.2">
      <c r="A25" s="28"/>
      <c r="B25" s="119"/>
      <c r="C25" s="28"/>
      <c r="D25" s="28"/>
      <c r="E25" s="28"/>
      <c r="F25" s="119"/>
      <c r="G25" s="28"/>
      <c r="H25" s="28"/>
      <c r="I25" s="28"/>
    </row>
    <row r="26" spans="1:9" ht="15.75" x14ac:dyDescent="0.25">
      <c r="A26" s="6" t="s">
        <v>147</v>
      </c>
    </row>
    <row r="27" spans="1:9" x14ac:dyDescent="0.2">
      <c r="A27" s="98" t="s">
        <v>66</v>
      </c>
      <c r="B27" s="137">
        <f>'SDA 2'!$B$14+'SDA 2'!$C$14</f>
        <v>0</v>
      </c>
      <c r="D27" s="143" t="s">
        <v>70</v>
      </c>
      <c r="E27" s="143"/>
      <c r="F27" s="137">
        <f>IFERROR('SDA 2'!$G$20,0)</f>
        <v>0</v>
      </c>
      <c r="G27" s="156"/>
      <c r="H27" s="156"/>
      <c r="I27" s="112"/>
    </row>
    <row r="28" spans="1:9" x14ac:dyDescent="0.2">
      <c r="A28" s="98" t="s">
        <v>67</v>
      </c>
      <c r="B28" s="137">
        <f>'SDA 2'!$B$15+'SDA 2'!$C$15</f>
        <v>0</v>
      </c>
      <c r="D28" s="178" t="s">
        <v>88</v>
      </c>
      <c r="E28" s="143"/>
      <c r="F28" s="137" t="str">
        <f>IFERROR('SDA 2'!$G$25,0)</f>
        <v>NA</v>
      </c>
      <c r="G28" s="28"/>
      <c r="H28" s="28"/>
      <c r="I28" s="28"/>
    </row>
    <row r="29" spans="1:9" x14ac:dyDescent="0.2">
      <c r="A29" s="98" t="s">
        <v>68</v>
      </c>
      <c r="B29" s="137">
        <f>'SDA 2'!$B$16+'SDA 2'!$C$16</f>
        <v>0</v>
      </c>
      <c r="G29" s="32"/>
      <c r="H29" s="32"/>
      <c r="I29" s="158"/>
    </row>
    <row r="30" spans="1:9" x14ac:dyDescent="0.2">
      <c r="A30" s="98" t="s">
        <v>143</v>
      </c>
      <c r="B30" s="137">
        <f>'SDA 2'!$B$18+'SDA 2'!$C$18</f>
        <v>0</v>
      </c>
      <c r="H30" s="32"/>
    </row>
    <row r="31" spans="1:9" x14ac:dyDescent="0.2">
      <c r="A31" s="98" t="s">
        <v>69</v>
      </c>
      <c r="B31" s="137">
        <f>'SDA 2'!$B$19+'SDA 2'!$C$19</f>
        <v>0</v>
      </c>
      <c r="D31" s="83"/>
      <c r="E31" s="83"/>
      <c r="F31" s="119"/>
      <c r="G31" s="28"/>
      <c r="H31" s="28"/>
      <c r="I31" s="28"/>
    </row>
    <row r="32" spans="1:9" x14ac:dyDescent="0.2">
      <c r="A32" s="28"/>
      <c r="B32" s="119"/>
      <c r="C32" s="28"/>
      <c r="D32" s="28"/>
      <c r="E32" s="28"/>
      <c r="F32" s="119"/>
      <c r="G32" s="28"/>
      <c r="H32" s="28"/>
      <c r="I32" s="28"/>
    </row>
    <row r="33" spans="1:9" x14ac:dyDescent="0.2">
      <c r="A33" s="98" t="s">
        <v>48</v>
      </c>
      <c r="B33" s="137">
        <f>'SDA 2'!$P$84</f>
        <v>0</v>
      </c>
      <c r="C33" s="28"/>
      <c r="D33" s="28"/>
      <c r="E33" s="28"/>
      <c r="F33" s="119"/>
      <c r="G33" s="28"/>
      <c r="H33" s="28"/>
      <c r="I33" s="28"/>
    </row>
    <row r="34" spans="1:9" x14ac:dyDescent="0.2">
      <c r="A34" s="98" t="s">
        <v>49</v>
      </c>
      <c r="B34" s="137">
        <f>IF(F27-B33&gt;0,F27-B33,0)</f>
        <v>0</v>
      </c>
      <c r="C34" s="28"/>
      <c r="D34" s="28"/>
      <c r="E34" s="28"/>
      <c r="F34" s="119"/>
      <c r="G34" s="28"/>
      <c r="H34" s="28"/>
      <c r="I34" s="28"/>
    </row>
    <row r="35" spans="1:9" x14ac:dyDescent="0.2">
      <c r="A35" s="164" t="s">
        <v>79</v>
      </c>
      <c r="B35" s="137">
        <f>B34*7.48</f>
        <v>0</v>
      </c>
      <c r="C35" s="28"/>
      <c r="D35" s="28"/>
      <c r="E35" s="28"/>
      <c r="F35" s="119"/>
      <c r="G35" s="28"/>
      <c r="H35" s="28"/>
      <c r="I35" s="28"/>
    </row>
    <row r="36" spans="1:9" x14ac:dyDescent="0.2">
      <c r="A36" s="87" t="s">
        <v>64</v>
      </c>
      <c r="B36" s="67" t="str">
        <f>IFERROR('SDA 2'!$P$89,NA())</f>
        <v>N/A</v>
      </c>
      <c r="C36" s="28"/>
      <c r="D36" s="28"/>
      <c r="E36" s="28"/>
      <c r="F36" s="119"/>
      <c r="G36" s="28"/>
      <c r="H36" s="28"/>
      <c r="I36" s="28"/>
    </row>
    <row r="37" spans="1:9" x14ac:dyDescent="0.2">
      <c r="A37" s="87" t="s">
        <v>116</v>
      </c>
      <c r="B37" s="67" t="str">
        <f>IFERROR('SDA 2'!$P$90,NA())</f>
        <v>N/A</v>
      </c>
      <c r="C37" s="28"/>
      <c r="D37" s="28"/>
      <c r="E37" s="28"/>
      <c r="F37" s="119"/>
      <c r="G37" s="28"/>
      <c r="H37" s="28"/>
      <c r="I37" s="28"/>
    </row>
    <row r="38" spans="1:9" x14ac:dyDescent="0.2">
      <c r="A38" s="28"/>
      <c r="B38" s="119"/>
      <c r="C38" s="28"/>
      <c r="D38" s="28"/>
      <c r="E38" s="28"/>
      <c r="F38" s="119"/>
      <c r="G38" s="28"/>
      <c r="H38" s="28"/>
      <c r="I38" s="28"/>
    </row>
    <row r="39" spans="1:9" x14ac:dyDescent="0.2">
      <c r="A39" s="165" t="str">
        <f>$A$18</f>
        <v>Treatment Required?</v>
      </c>
      <c r="B39" s="170" t="str">
        <f>IFERROR('SDA 2'!$P$91,NA())</f>
        <v>No</v>
      </c>
      <c r="C39" s="28"/>
      <c r="D39" s="28"/>
      <c r="E39" s="28"/>
      <c r="F39" s="119"/>
      <c r="G39" s="28"/>
      <c r="H39" s="28"/>
      <c r="I39" s="28"/>
    </row>
    <row r="40" spans="1:9" x14ac:dyDescent="0.2">
      <c r="A40" s="165" t="str">
        <f>$A$19</f>
        <v>Volume Treated (cubic feet)</v>
      </c>
      <c r="B40" s="170">
        <f>'SDA 2'!$T$84</f>
        <v>0</v>
      </c>
      <c r="C40" s="28"/>
      <c r="D40" s="28"/>
      <c r="E40" s="28"/>
      <c r="F40" s="119"/>
      <c r="G40" s="28"/>
      <c r="H40" s="28"/>
      <c r="I40" s="28"/>
    </row>
    <row r="41" spans="1:9" x14ac:dyDescent="0.2">
      <c r="A41" s="165" t="str">
        <f>'SDA 1'!$S$86</f>
        <v>Volume Remaining to Treat 50% of the SWRv (cubic feet)</v>
      </c>
      <c r="B41" s="170">
        <f>'SDA 2'!$T$86</f>
        <v>0</v>
      </c>
      <c r="C41" s="28"/>
      <c r="D41" s="28"/>
      <c r="E41" s="28"/>
      <c r="F41" s="119"/>
      <c r="G41" s="28"/>
      <c r="H41" s="28"/>
      <c r="I41" s="28"/>
    </row>
    <row r="42" spans="1:9" x14ac:dyDescent="0.2">
      <c r="A42" s="165" t="str">
        <f>'SDA 1'!$S$87</f>
        <v>Volume Remaining to Treat 50% of the SWRv (gallons)</v>
      </c>
      <c r="B42" s="170">
        <f>'SDA 2'!$T$87</f>
        <v>0</v>
      </c>
      <c r="C42" s="28"/>
      <c r="D42" s="28"/>
      <c r="E42" s="28"/>
      <c r="F42" s="119"/>
      <c r="G42" s="28"/>
      <c r="H42" s="28"/>
      <c r="I42" s="28"/>
    </row>
    <row r="43" spans="1:9" x14ac:dyDescent="0.2">
      <c r="A43" s="165" t="str">
        <f>'SDA 1'!$S$89</f>
        <v>Volume Remaining to Treat WQTv (cubic feet)</v>
      </c>
      <c r="B43" s="170" t="str">
        <f>'SDA 2'!$T$89</f>
        <v>N/A</v>
      </c>
      <c r="C43" s="28"/>
      <c r="D43" s="28"/>
      <c r="E43" s="28"/>
      <c r="F43" s="119"/>
      <c r="G43" s="28"/>
      <c r="H43" s="28"/>
      <c r="I43" s="28"/>
    </row>
    <row r="44" spans="1:9" x14ac:dyDescent="0.2">
      <c r="A44" s="165" t="str">
        <f>'SDA 1'!$S$90</f>
        <v>Volume Remaining to Treat WQTv (gallons)</v>
      </c>
      <c r="B44" s="170" t="str">
        <f>'SDA 2'!$T$90</f>
        <v>N/A</v>
      </c>
      <c r="C44" s="28"/>
      <c r="D44" s="28"/>
      <c r="E44" s="28"/>
      <c r="F44" s="119"/>
      <c r="G44" s="28"/>
      <c r="H44" s="28"/>
      <c r="I44" s="28"/>
    </row>
    <row r="45" spans="1:9" x14ac:dyDescent="0.2">
      <c r="A45" s="28"/>
      <c r="B45" s="119"/>
      <c r="C45" s="28"/>
      <c r="D45" s="28"/>
      <c r="E45" s="28"/>
      <c r="F45" s="119"/>
      <c r="G45" s="28"/>
      <c r="H45" s="28"/>
      <c r="I45" s="28"/>
    </row>
    <row r="46" spans="1:9" x14ac:dyDescent="0.2">
      <c r="A46" s="28"/>
      <c r="B46" s="119"/>
      <c r="C46" s="28"/>
      <c r="D46" s="28"/>
      <c r="E46" s="28"/>
      <c r="F46" s="119"/>
      <c r="G46" s="28"/>
      <c r="H46" s="28"/>
      <c r="I46" s="28"/>
    </row>
    <row r="47" spans="1:9" ht="15.75" x14ac:dyDescent="0.25">
      <c r="A47" s="6" t="s">
        <v>148</v>
      </c>
      <c r="D47" s="28"/>
      <c r="E47" s="28"/>
      <c r="F47" s="119"/>
      <c r="G47" s="28"/>
      <c r="H47" s="28"/>
      <c r="I47" s="28"/>
    </row>
    <row r="48" spans="1:9" x14ac:dyDescent="0.2">
      <c r="A48" s="98" t="s">
        <v>66</v>
      </c>
      <c r="B48" s="137">
        <f>'SDA 3'!$B$14+'SDA 3'!$C$14</f>
        <v>0</v>
      </c>
      <c r="D48" s="143" t="s">
        <v>70</v>
      </c>
      <c r="E48" s="143"/>
      <c r="F48" s="137">
        <f>IFERROR('SDA 3'!$G$20,0)</f>
        <v>0</v>
      </c>
      <c r="G48" s="156"/>
      <c r="H48" s="156"/>
      <c r="I48" s="112"/>
    </row>
    <row r="49" spans="1:9" x14ac:dyDescent="0.2">
      <c r="A49" s="98" t="s">
        <v>67</v>
      </c>
      <c r="B49" s="137">
        <f>'SDA 3'!$B$15+'SDA 3'!$C$15</f>
        <v>0</v>
      </c>
      <c r="D49" s="178" t="s">
        <v>88</v>
      </c>
      <c r="E49" s="143"/>
      <c r="F49" s="137" t="str">
        <f>IFERROR('SDA 3'!$G$25,0)</f>
        <v>NA</v>
      </c>
      <c r="G49" s="28"/>
      <c r="H49" s="28"/>
      <c r="I49" s="28"/>
    </row>
    <row r="50" spans="1:9" x14ac:dyDescent="0.2">
      <c r="A50" s="98" t="s">
        <v>68</v>
      </c>
      <c r="B50" s="137">
        <f>'SDA 3'!$B$16+'SDA 3'!$C$16</f>
        <v>0</v>
      </c>
      <c r="G50" s="32"/>
      <c r="H50" s="32"/>
      <c r="I50" s="158"/>
    </row>
    <row r="51" spans="1:9" x14ac:dyDescent="0.2">
      <c r="A51" s="98" t="s">
        <v>143</v>
      </c>
      <c r="B51" s="137">
        <f>'SDA 3'!$B$18+'SDA 3'!$C$18</f>
        <v>0</v>
      </c>
      <c r="G51" s="32"/>
      <c r="H51" s="32"/>
      <c r="I51" s="158"/>
    </row>
    <row r="52" spans="1:9" x14ac:dyDescent="0.2">
      <c r="A52" s="98" t="s">
        <v>69</v>
      </c>
      <c r="B52" s="137">
        <f>'SDA 3'!$B$19+'SDA 3'!$C$19</f>
        <v>0</v>
      </c>
      <c r="D52" s="83"/>
      <c r="E52" s="83"/>
      <c r="F52" s="119"/>
      <c r="G52" s="28"/>
      <c r="H52" s="28"/>
      <c r="I52" s="28"/>
    </row>
    <row r="53" spans="1:9" x14ac:dyDescent="0.2">
      <c r="A53" s="28"/>
      <c r="B53" s="119"/>
      <c r="C53" s="28"/>
      <c r="D53" s="28"/>
      <c r="E53" s="28"/>
      <c r="F53" s="119"/>
      <c r="G53" s="28"/>
      <c r="H53" s="28"/>
      <c r="I53" s="28"/>
    </row>
    <row r="54" spans="1:9" x14ac:dyDescent="0.2">
      <c r="A54" s="98" t="s">
        <v>48</v>
      </c>
      <c r="B54" s="137">
        <f>'SDA 3'!$P$84</f>
        <v>0</v>
      </c>
      <c r="C54" s="28"/>
      <c r="D54" s="28"/>
      <c r="E54" s="28"/>
      <c r="F54" s="119"/>
      <c r="G54" s="28"/>
      <c r="H54" s="28"/>
      <c r="I54" s="28"/>
    </row>
    <row r="55" spans="1:9" x14ac:dyDescent="0.2">
      <c r="A55" s="98" t="s">
        <v>49</v>
      </c>
      <c r="B55" s="137">
        <f>IF(F48-B54&gt;0,F48-B54,0)</f>
        <v>0</v>
      </c>
      <c r="C55" s="28"/>
      <c r="D55" s="28"/>
      <c r="E55" s="28"/>
      <c r="F55" s="119"/>
      <c r="G55" s="28"/>
      <c r="H55" s="28"/>
      <c r="I55" s="28"/>
    </row>
    <row r="56" spans="1:9" x14ac:dyDescent="0.2">
      <c r="A56" s="164" t="s">
        <v>79</v>
      </c>
      <c r="B56" s="137">
        <f>B55*7.48</f>
        <v>0</v>
      </c>
      <c r="C56" s="28"/>
      <c r="D56" s="28"/>
      <c r="E56" s="28"/>
      <c r="F56" s="119"/>
      <c r="G56" s="28"/>
      <c r="H56" s="28"/>
      <c r="I56" s="28"/>
    </row>
    <row r="57" spans="1:9" x14ac:dyDescent="0.2">
      <c r="A57" s="87" t="s">
        <v>64</v>
      </c>
      <c r="B57" s="67" t="str">
        <f>IFERROR('SDA 3'!$P$89,NA())</f>
        <v>N/A</v>
      </c>
      <c r="C57" s="28"/>
      <c r="D57" s="28"/>
      <c r="E57" s="28"/>
      <c r="F57" s="119"/>
      <c r="G57" s="28"/>
      <c r="H57" s="28"/>
      <c r="I57" s="28"/>
    </row>
    <row r="58" spans="1:9" x14ac:dyDescent="0.2">
      <c r="A58" s="87" t="s">
        <v>116</v>
      </c>
      <c r="B58" s="67" t="str">
        <f>IFERROR('SDA 3'!$P$90,NA())</f>
        <v>N/A</v>
      </c>
      <c r="C58" s="28"/>
      <c r="D58" s="28"/>
      <c r="E58" s="28"/>
      <c r="F58" s="119"/>
      <c r="G58" s="28"/>
      <c r="H58" s="28"/>
      <c r="I58" s="28"/>
    </row>
    <row r="59" spans="1:9" x14ac:dyDescent="0.2">
      <c r="A59" s="28"/>
      <c r="B59" s="119"/>
      <c r="C59" s="28"/>
      <c r="D59" s="28"/>
      <c r="E59" s="28"/>
      <c r="F59" s="119"/>
      <c r="G59" s="28"/>
      <c r="H59" s="28"/>
      <c r="I59" s="28"/>
    </row>
    <row r="60" spans="1:9" x14ac:dyDescent="0.2">
      <c r="A60" s="165" t="str">
        <f>$A$18</f>
        <v>Treatment Required?</v>
      </c>
      <c r="B60" s="170" t="str">
        <f>IFERROR('SDA 3'!$P$91,NA())</f>
        <v>No</v>
      </c>
      <c r="C60" s="28"/>
      <c r="D60" s="28"/>
      <c r="E60" s="28"/>
      <c r="F60" s="119"/>
      <c r="G60" s="28"/>
      <c r="H60" s="28"/>
      <c r="I60" s="28"/>
    </row>
    <row r="61" spans="1:9" x14ac:dyDescent="0.2">
      <c r="A61" s="165" t="str">
        <f>$A$19</f>
        <v>Volume Treated (cubic feet)</v>
      </c>
      <c r="B61" s="170">
        <f>'SDA 3'!$T$84</f>
        <v>0</v>
      </c>
      <c r="C61" s="28"/>
      <c r="D61" s="28"/>
      <c r="E61" s="28"/>
      <c r="F61" s="119"/>
      <c r="G61" s="28"/>
      <c r="H61" s="28"/>
      <c r="I61" s="28"/>
    </row>
    <row r="62" spans="1:9" x14ac:dyDescent="0.2">
      <c r="A62" s="165" t="str">
        <f>'SDA 1'!$S$86</f>
        <v>Volume Remaining to Treat 50% of the SWRv (cubic feet)</v>
      </c>
      <c r="B62" s="170">
        <f>'SDA 3'!$T$86</f>
        <v>0</v>
      </c>
      <c r="C62" s="28"/>
      <c r="D62" s="28"/>
      <c r="E62" s="28"/>
      <c r="F62" s="119"/>
      <c r="G62" s="28"/>
      <c r="H62" s="28"/>
      <c r="I62" s="28"/>
    </row>
    <row r="63" spans="1:9" x14ac:dyDescent="0.2">
      <c r="A63" s="165" t="str">
        <f>'SDA 1'!$S$87</f>
        <v>Volume Remaining to Treat 50% of the SWRv (gallons)</v>
      </c>
      <c r="B63" s="170">
        <f>'SDA 3'!$T$87</f>
        <v>0</v>
      </c>
      <c r="C63" s="28"/>
      <c r="D63" s="28"/>
      <c r="E63" s="28"/>
      <c r="F63" s="119"/>
      <c r="G63" s="28"/>
      <c r="H63" s="28"/>
      <c r="I63" s="28"/>
    </row>
    <row r="64" spans="1:9" x14ac:dyDescent="0.2">
      <c r="A64" s="165" t="str">
        <f>'SDA 1'!$S$89</f>
        <v>Volume Remaining to Treat WQTv (cubic feet)</v>
      </c>
      <c r="B64" s="170" t="str">
        <f>'SDA 3'!$T$89</f>
        <v>N/A</v>
      </c>
      <c r="C64" s="28"/>
      <c r="D64" s="28"/>
      <c r="E64" s="28"/>
      <c r="F64" s="119"/>
      <c r="G64" s="28"/>
      <c r="H64" s="28"/>
      <c r="I64" s="28"/>
    </row>
    <row r="65" spans="1:9" x14ac:dyDescent="0.2">
      <c r="A65" s="165" t="str">
        <f>'SDA 1'!$S$90</f>
        <v>Volume Remaining to Treat WQTv (gallons)</v>
      </c>
      <c r="B65" s="170" t="str">
        <f>'SDA 3'!$T$90</f>
        <v>N/A</v>
      </c>
      <c r="C65" s="28"/>
      <c r="D65" s="28"/>
      <c r="E65" s="28"/>
      <c r="F65" s="119"/>
      <c r="G65" s="28"/>
      <c r="H65" s="28"/>
      <c r="I65" s="28"/>
    </row>
    <row r="66" spans="1:9" x14ac:dyDescent="0.2">
      <c r="A66" s="28"/>
      <c r="B66" s="119"/>
      <c r="C66" s="28"/>
      <c r="D66" s="28"/>
      <c r="E66" s="28"/>
      <c r="F66" s="119"/>
      <c r="G66" s="28"/>
      <c r="H66" s="28"/>
      <c r="I66" s="28"/>
    </row>
    <row r="67" spans="1:9" x14ac:dyDescent="0.2">
      <c r="A67" s="28"/>
      <c r="B67" s="119"/>
      <c r="C67" s="28"/>
      <c r="D67" s="28"/>
      <c r="E67" s="28"/>
      <c r="F67" s="119"/>
      <c r="G67" s="28"/>
      <c r="H67" s="28"/>
      <c r="I67" s="28"/>
    </row>
    <row r="68" spans="1:9" ht="15.75" x14ac:dyDescent="0.25">
      <c r="A68" s="6" t="s">
        <v>149</v>
      </c>
      <c r="D68" s="28"/>
      <c r="E68" s="28"/>
      <c r="F68" s="119"/>
      <c r="G68" s="28"/>
      <c r="H68" s="28"/>
      <c r="I68" s="28"/>
    </row>
    <row r="69" spans="1:9" x14ac:dyDescent="0.2">
      <c r="A69" s="98" t="s">
        <v>66</v>
      </c>
      <c r="B69" s="137">
        <f>'SDA 4'!$B$14+'SDA 4'!$C$14</f>
        <v>0</v>
      </c>
      <c r="D69" s="143" t="s">
        <v>70</v>
      </c>
      <c r="E69" s="143"/>
      <c r="F69" s="137">
        <f>IFERROR('SDA 4'!$G$20,0)</f>
        <v>0</v>
      </c>
      <c r="G69" s="156"/>
      <c r="H69" s="156"/>
      <c r="I69" s="112"/>
    </row>
    <row r="70" spans="1:9" x14ac:dyDescent="0.2">
      <c r="A70" s="98" t="s">
        <v>67</v>
      </c>
      <c r="B70" s="137">
        <f>'SDA 4'!$B$15+'SDA 4'!$C$15</f>
        <v>0</v>
      </c>
      <c r="D70" s="178" t="s">
        <v>88</v>
      </c>
      <c r="E70" s="143"/>
      <c r="F70" s="137" t="str">
        <f>IFERROR('SDA 4'!$G$25,0)</f>
        <v>NA</v>
      </c>
      <c r="G70" s="28"/>
      <c r="H70" s="28"/>
      <c r="I70" s="28"/>
    </row>
    <row r="71" spans="1:9" x14ac:dyDescent="0.2">
      <c r="A71" s="98" t="s">
        <v>68</v>
      </c>
      <c r="B71" s="137">
        <f>'SDA 4'!$B$16+'SDA 4'!$C$16</f>
        <v>0</v>
      </c>
      <c r="G71" s="32"/>
      <c r="H71" s="32"/>
      <c r="I71" s="158"/>
    </row>
    <row r="72" spans="1:9" x14ac:dyDescent="0.2">
      <c r="A72" s="98" t="s">
        <v>143</v>
      </c>
      <c r="B72" s="137">
        <f>'SDA 4'!$B$18+'SDA 4'!$C$18</f>
        <v>0</v>
      </c>
      <c r="G72" s="32"/>
      <c r="H72" s="32"/>
      <c r="I72" s="158"/>
    </row>
    <row r="73" spans="1:9" x14ac:dyDescent="0.2">
      <c r="A73" s="98" t="s">
        <v>69</v>
      </c>
      <c r="B73" s="137">
        <f>'SDA 4'!$B$19+'SDA 4'!$C$19</f>
        <v>0</v>
      </c>
      <c r="D73" s="83"/>
      <c r="E73" s="83"/>
      <c r="F73" s="119"/>
      <c r="G73" s="28"/>
      <c r="H73" s="28"/>
      <c r="I73" s="28"/>
    </row>
    <row r="74" spans="1:9" x14ac:dyDescent="0.2">
      <c r="A74" s="28"/>
      <c r="B74" s="119"/>
      <c r="C74" s="28"/>
      <c r="D74" s="28"/>
      <c r="E74" s="28"/>
      <c r="F74" s="119"/>
      <c r="G74" s="28"/>
      <c r="H74" s="28"/>
      <c r="I74" s="28"/>
    </row>
    <row r="75" spans="1:9" x14ac:dyDescent="0.2">
      <c r="A75" s="98" t="s">
        <v>48</v>
      </c>
      <c r="B75" s="137">
        <f>'SDA 4'!$P$84</f>
        <v>0</v>
      </c>
      <c r="C75" s="28"/>
      <c r="D75" s="28"/>
      <c r="E75" s="28"/>
      <c r="F75" s="119"/>
      <c r="G75" s="28"/>
      <c r="H75" s="28"/>
      <c r="I75" s="28"/>
    </row>
    <row r="76" spans="1:9" x14ac:dyDescent="0.2">
      <c r="A76" s="98" t="s">
        <v>49</v>
      </c>
      <c r="B76" s="137">
        <f>IF(F69-B75&gt;0,F69-B75,0)</f>
        <v>0</v>
      </c>
      <c r="C76" s="28"/>
      <c r="D76" s="28"/>
      <c r="E76" s="28"/>
      <c r="F76" s="119"/>
      <c r="G76" s="28"/>
      <c r="H76" s="28"/>
      <c r="I76" s="28"/>
    </row>
    <row r="77" spans="1:9" x14ac:dyDescent="0.2">
      <c r="A77" s="164" t="s">
        <v>79</v>
      </c>
      <c r="B77" s="137">
        <f>B76*7.48</f>
        <v>0</v>
      </c>
      <c r="C77" s="28"/>
      <c r="D77" s="28"/>
      <c r="E77" s="28"/>
      <c r="F77" s="119"/>
      <c r="G77" s="28"/>
      <c r="H77" s="28"/>
      <c r="I77" s="28"/>
    </row>
    <row r="78" spans="1:9" x14ac:dyDescent="0.2">
      <c r="A78" s="87" t="s">
        <v>64</v>
      </c>
      <c r="B78" s="67" t="str">
        <f>IFERROR('SDA 4'!$P$89,NA())</f>
        <v>N/A</v>
      </c>
      <c r="C78" s="28"/>
      <c r="D78" s="28"/>
      <c r="E78" s="28"/>
      <c r="F78" s="119"/>
      <c r="G78" s="28"/>
      <c r="H78" s="28"/>
      <c r="I78" s="28"/>
    </row>
    <row r="79" spans="1:9" x14ac:dyDescent="0.2">
      <c r="A79" s="87" t="s">
        <v>116</v>
      </c>
      <c r="B79" s="67" t="str">
        <f>IFERROR('SDA 4'!$P$90,NA())</f>
        <v>N/A</v>
      </c>
      <c r="C79" s="28"/>
      <c r="D79" s="28"/>
      <c r="E79" s="28"/>
      <c r="F79" s="119"/>
      <c r="G79" s="28"/>
      <c r="H79" s="28"/>
      <c r="I79" s="28"/>
    </row>
    <row r="80" spans="1:9" x14ac:dyDescent="0.2">
      <c r="A80" s="28"/>
      <c r="B80" s="119"/>
      <c r="C80" s="28"/>
      <c r="D80" s="28"/>
      <c r="E80" s="28"/>
      <c r="F80" s="119"/>
      <c r="G80" s="28"/>
      <c r="H80" s="28"/>
      <c r="I80" s="28"/>
    </row>
    <row r="81" spans="1:9" x14ac:dyDescent="0.2">
      <c r="A81" s="165" t="str">
        <f>$A$18</f>
        <v>Treatment Required?</v>
      </c>
      <c r="B81" s="170" t="str">
        <f>IFERROR('SDA 4'!$P$91,NA())</f>
        <v>No</v>
      </c>
      <c r="C81" s="28"/>
      <c r="D81" s="28"/>
      <c r="E81" s="28"/>
      <c r="F81" s="119"/>
      <c r="G81" s="28"/>
      <c r="H81" s="28"/>
      <c r="I81" s="28"/>
    </row>
    <row r="82" spans="1:9" x14ac:dyDescent="0.2">
      <c r="A82" s="165" t="str">
        <f>$A$19</f>
        <v>Volume Treated (cubic feet)</v>
      </c>
      <c r="B82" s="170">
        <f>'SDA 4'!$T$84</f>
        <v>0</v>
      </c>
      <c r="C82" s="28"/>
      <c r="D82" s="28"/>
      <c r="E82" s="28"/>
      <c r="F82" s="119"/>
      <c r="G82" s="28"/>
      <c r="H82" s="28"/>
      <c r="I82" s="28"/>
    </row>
    <row r="83" spans="1:9" x14ac:dyDescent="0.2">
      <c r="A83" s="165" t="str">
        <f>'SDA 1'!$S$86</f>
        <v>Volume Remaining to Treat 50% of the SWRv (cubic feet)</v>
      </c>
      <c r="B83" s="170">
        <f>'SDA 4'!$T$86</f>
        <v>0</v>
      </c>
      <c r="C83" s="28"/>
      <c r="D83" s="28"/>
      <c r="E83" s="28"/>
      <c r="F83" s="119"/>
      <c r="G83" s="28"/>
      <c r="H83" s="28"/>
      <c r="I83" s="28"/>
    </row>
    <row r="84" spans="1:9" x14ac:dyDescent="0.2">
      <c r="A84" s="165" t="str">
        <f>'SDA 1'!$S$87</f>
        <v>Volume Remaining to Treat 50% of the SWRv (gallons)</v>
      </c>
      <c r="B84" s="170">
        <f>'SDA 4'!$T$87</f>
        <v>0</v>
      </c>
      <c r="C84" s="28"/>
      <c r="D84" s="28"/>
      <c r="E84" s="28"/>
      <c r="F84" s="119"/>
      <c r="G84" s="28"/>
      <c r="H84" s="28"/>
      <c r="I84" s="28"/>
    </row>
    <row r="85" spans="1:9" x14ac:dyDescent="0.2">
      <c r="A85" s="165" t="str">
        <f>'SDA 1'!$S$89</f>
        <v>Volume Remaining to Treat WQTv (cubic feet)</v>
      </c>
      <c r="B85" s="170" t="str">
        <f>'SDA 4'!$T$89</f>
        <v>N/A</v>
      </c>
      <c r="C85" s="28"/>
      <c r="D85" s="28"/>
      <c r="E85" s="28"/>
      <c r="F85" s="119"/>
      <c r="G85" s="28"/>
      <c r="H85" s="28"/>
      <c r="I85" s="28"/>
    </row>
    <row r="86" spans="1:9" x14ac:dyDescent="0.2">
      <c r="A86" s="165" t="str">
        <f>'SDA 1'!$S$90</f>
        <v>Volume Remaining to Treat WQTv (gallons)</v>
      </c>
      <c r="B86" s="170" t="str">
        <f>'SDA 4'!$T$90</f>
        <v>N/A</v>
      </c>
      <c r="C86" s="28"/>
      <c r="D86" s="28"/>
      <c r="E86" s="28"/>
      <c r="F86" s="119"/>
      <c r="G86" s="28"/>
      <c r="H86" s="28"/>
      <c r="I86" s="28"/>
    </row>
    <row r="87" spans="1:9" x14ac:dyDescent="0.2">
      <c r="A87" s="40"/>
      <c r="B87" s="171"/>
      <c r="C87" s="28"/>
      <c r="D87" s="28"/>
      <c r="E87" s="28"/>
      <c r="F87" s="119"/>
      <c r="G87" s="28"/>
      <c r="H87" s="28"/>
      <c r="I87" s="28"/>
    </row>
    <row r="88" spans="1:9" x14ac:dyDescent="0.2">
      <c r="A88" s="40"/>
      <c r="B88" s="171"/>
      <c r="C88" s="28"/>
      <c r="D88" s="28"/>
      <c r="E88" s="28"/>
      <c r="F88" s="119"/>
      <c r="G88" s="28"/>
      <c r="H88" s="28"/>
      <c r="I88" s="28"/>
    </row>
    <row r="89" spans="1:9" ht="15.75" x14ac:dyDescent="0.25">
      <c r="A89" s="6" t="s">
        <v>150</v>
      </c>
      <c r="D89" s="28"/>
      <c r="E89" s="28"/>
      <c r="F89" s="119"/>
      <c r="G89" s="28"/>
      <c r="H89" s="28"/>
      <c r="I89" s="28"/>
    </row>
    <row r="90" spans="1:9" x14ac:dyDescent="0.2">
      <c r="A90" s="98" t="s">
        <v>66</v>
      </c>
      <c r="B90" s="137">
        <f>'SDA 5'!$B$14+'SDA 5'!$C$14</f>
        <v>0</v>
      </c>
      <c r="D90" s="143" t="s">
        <v>70</v>
      </c>
      <c r="E90" s="143"/>
      <c r="F90" s="137">
        <f>IFERROR('SDA 5'!$G$20,0)</f>
        <v>0</v>
      </c>
      <c r="G90" s="156"/>
      <c r="H90" s="156"/>
      <c r="I90" s="112"/>
    </row>
    <row r="91" spans="1:9" x14ac:dyDescent="0.2">
      <c r="A91" s="98" t="s">
        <v>67</v>
      </c>
      <c r="B91" s="137">
        <f>'SDA 5'!$B$15+'SDA 5'!$C$15</f>
        <v>0</v>
      </c>
      <c r="D91" s="178" t="s">
        <v>88</v>
      </c>
      <c r="E91" s="143"/>
      <c r="F91" s="137" t="str">
        <f>IFERROR('SDA 5'!$G$25,0)</f>
        <v>NA</v>
      </c>
      <c r="G91" s="28"/>
      <c r="H91" s="28"/>
      <c r="I91" s="28"/>
    </row>
    <row r="92" spans="1:9" x14ac:dyDescent="0.2">
      <c r="A92" s="98" t="s">
        <v>68</v>
      </c>
      <c r="B92" s="137">
        <f>'SDA 5'!$B$16+'SDA 5'!$C$16</f>
        <v>0</v>
      </c>
      <c r="G92" s="32"/>
      <c r="H92" s="32"/>
      <c r="I92" s="158"/>
    </row>
    <row r="93" spans="1:9" x14ac:dyDescent="0.2">
      <c r="A93" s="98" t="s">
        <v>143</v>
      </c>
      <c r="B93" s="137">
        <f>'SDA 5'!$B$18+'SDA 5'!$C$18</f>
        <v>0</v>
      </c>
      <c r="G93" s="32"/>
      <c r="H93" s="32"/>
      <c r="I93" s="158"/>
    </row>
    <row r="94" spans="1:9" x14ac:dyDescent="0.2">
      <c r="A94" s="98" t="s">
        <v>69</v>
      </c>
      <c r="B94" s="137">
        <f>'SDA 5'!$B$19+'SDA 5'!$C$19</f>
        <v>0</v>
      </c>
      <c r="D94" s="83"/>
      <c r="E94" s="83"/>
      <c r="F94" s="119"/>
      <c r="G94" s="28"/>
      <c r="H94" s="28"/>
      <c r="I94" s="28"/>
    </row>
    <row r="95" spans="1:9" x14ac:dyDescent="0.2">
      <c r="A95" s="28"/>
      <c r="B95" s="119"/>
      <c r="C95" s="28"/>
      <c r="D95" s="28"/>
      <c r="E95" s="28"/>
      <c r="F95" s="119"/>
      <c r="G95" s="28"/>
      <c r="H95" s="28"/>
      <c r="I95" s="28"/>
    </row>
    <row r="96" spans="1:9" x14ac:dyDescent="0.2">
      <c r="A96" s="98" t="s">
        <v>48</v>
      </c>
      <c r="B96" s="137">
        <f>'SDA 5'!$P$84</f>
        <v>0</v>
      </c>
      <c r="C96" s="28"/>
      <c r="D96" s="28"/>
      <c r="E96" s="28"/>
      <c r="F96" s="119"/>
      <c r="G96" s="28"/>
      <c r="H96" s="28"/>
      <c r="I96" s="28"/>
    </row>
    <row r="97" spans="1:9" x14ac:dyDescent="0.2">
      <c r="A97" s="98" t="s">
        <v>49</v>
      </c>
      <c r="B97" s="137">
        <f>IF(F90-B96&gt;0,F90-B96,0)</f>
        <v>0</v>
      </c>
      <c r="C97" s="28"/>
      <c r="D97" s="28"/>
      <c r="E97" s="28"/>
      <c r="F97" s="119"/>
      <c r="G97" s="28"/>
      <c r="H97" s="28"/>
      <c r="I97" s="28"/>
    </row>
    <row r="98" spans="1:9" x14ac:dyDescent="0.2">
      <c r="A98" s="164" t="s">
        <v>79</v>
      </c>
      <c r="B98" s="137">
        <f>B97*7.48</f>
        <v>0</v>
      </c>
      <c r="C98" s="28"/>
      <c r="D98" s="28"/>
      <c r="E98" s="28"/>
      <c r="F98" s="119"/>
      <c r="G98" s="28"/>
      <c r="H98" s="28"/>
      <c r="I98" s="28"/>
    </row>
    <row r="99" spans="1:9" x14ac:dyDescent="0.2">
      <c r="A99" s="87" t="s">
        <v>64</v>
      </c>
      <c r="B99" s="67" t="str">
        <f>IFERROR('SDA 5'!$P$89,NA())</f>
        <v>N/A</v>
      </c>
      <c r="C99" s="28"/>
      <c r="D99" s="28"/>
      <c r="E99" s="28"/>
      <c r="F99" s="119"/>
      <c r="G99" s="28"/>
      <c r="H99" s="28"/>
      <c r="I99" s="28"/>
    </row>
    <row r="100" spans="1:9" x14ac:dyDescent="0.2">
      <c r="A100" s="87" t="s">
        <v>116</v>
      </c>
      <c r="B100" s="67" t="str">
        <f>IFERROR('SDA 5'!$P$90,NA())</f>
        <v>N/A</v>
      </c>
      <c r="C100" s="28"/>
      <c r="D100" s="28"/>
      <c r="E100" s="28"/>
      <c r="F100" s="119"/>
      <c r="G100" s="28"/>
      <c r="H100" s="28"/>
      <c r="I100" s="28"/>
    </row>
    <row r="101" spans="1:9" x14ac:dyDescent="0.2">
      <c r="A101" s="28"/>
      <c r="B101" s="119"/>
      <c r="C101" s="28"/>
      <c r="D101" s="28"/>
      <c r="E101" s="28"/>
      <c r="F101" s="119"/>
      <c r="G101" s="28"/>
      <c r="H101" s="28"/>
      <c r="I101" s="28"/>
    </row>
    <row r="102" spans="1:9" x14ac:dyDescent="0.2">
      <c r="A102" s="165" t="str">
        <f>$A$18</f>
        <v>Treatment Required?</v>
      </c>
      <c r="B102" s="170" t="str">
        <f>IFERROR('SDA 5'!$P$91,NA())</f>
        <v>No</v>
      </c>
      <c r="C102" s="28"/>
      <c r="D102" s="28"/>
      <c r="E102" s="28"/>
      <c r="F102" s="119"/>
      <c r="G102" s="28"/>
      <c r="H102" s="28"/>
      <c r="I102" s="28"/>
    </row>
    <row r="103" spans="1:9" x14ac:dyDescent="0.2">
      <c r="A103" s="165" t="str">
        <f>$A$19</f>
        <v>Volume Treated (cubic feet)</v>
      </c>
      <c r="B103" s="170">
        <f>'SDA 5'!$T$84</f>
        <v>0</v>
      </c>
      <c r="C103" s="28"/>
      <c r="D103" s="28"/>
      <c r="E103" s="28"/>
      <c r="F103" s="119"/>
      <c r="G103" s="28"/>
      <c r="H103" s="28"/>
      <c r="I103" s="28"/>
    </row>
    <row r="104" spans="1:9" x14ac:dyDescent="0.2">
      <c r="A104" s="165" t="str">
        <f>'SDA 1'!$S$86</f>
        <v>Volume Remaining to Treat 50% of the SWRv (cubic feet)</v>
      </c>
      <c r="B104" s="170">
        <f>'SDA 5'!$T$86</f>
        <v>0</v>
      </c>
      <c r="C104" s="28"/>
      <c r="D104" s="28"/>
      <c r="E104" s="28"/>
      <c r="F104" s="119"/>
      <c r="G104" s="28"/>
      <c r="H104" s="28"/>
      <c r="I104" s="28"/>
    </row>
    <row r="105" spans="1:9" x14ac:dyDescent="0.2">
      <c r="A105" s="165" t="str">
        <f>'SDA 1'!$S$87</f>
        <v>Volume Remaining to Treat 50% of the SWRv (gallons)</v>
      </c>
      <c r="B105" s="170">
        <f>'SDA 5'!$T$87</f>
        <v>0</v>
      </c>
      <c r="C105" s="28"/>
      <c r="D105" s="28"/>
      <c r="E105" s="28"/>
      <c r="F105" s="119"/>
      <c r="G105" s="28"/>
      <c r="H105" s="28"/>
      <c r="I105" s="28"/>
    </row>
    <row r="106" spans="1:9" x14ac:dyDescent="0.2">
      <c r="A106" s="165" t="str">
        <f>'SDA 1'!$S$89</f>
        <v>Volume Remaining to Treat WQTv (cubic feet)</v>
      </c>
      <c r="B106" s="170" t="str">
        <f>'SDA 5'!$T$89</f>
        <v>N/A</v>
      </c>
      <c r="C106" s="28"/>
      <c r="D106" s="28"/>
      <c r="E106" s="28"/>
      <c r="F106" s="119"/>
      <c r="G106" s="28"/>
      <c r="H106" s="28"/>
      <c r="I106" s="28"/>
    </row>
    <row r="107" spans="1:9" x14ac:dyDescent="0.2">
      <c r="A107" s="165" t="str">
        <f>'SDA 1'!$S$90</f>
        <v>Volume Remaining to Treat WQTv (gallons)</v>
      </c>
      <c r="B107" s="170" t="str">
        <f>'SDA 5'!$T$90</f>
        <v>N/A</v>
      </c>
      <c r="C107" s="28"/>
      <c r="D107" s="28"/>
      <c r="E107" s="28"/>
      <c r="F107" s="119"/>
      <c r="G107" s="28"/>
      <c r="H107" s="28"/>
      <c r="I107" s="28"/>
    </row>
    <row r="108" spans="1:9" x14ac:dyDescent="0.2">
      <c r="A108" s="40"/>
      <c r="B108" s="171"/>
      <c r="C108" s="28"/>
      <c r="D108" s="28"/>
      <c r="E108" s="28"/>
      <c r="F108" s="119"/>
      <c r="G108" s="28"/>
      <c r="H108" s="28"/>
      <c r="I108" s="28"/>
    </row>
    <row r="109" spans="1:9" x14ac:dyDescent="0.2">
      <c r="A109" s="40"/>
      <c r="B109" s="171"/>
      <c r="C109" s="28"/>
      <c r="D109" s="28"/>
      <c r="E109" s="28"/>
      <c r="F109" s="119"/>
      <c r="G109" s="28"/>
      <c r="H109" s="28"/>
      <c r="I109" s="28"/>
    </row>
    <row r="110" spans="1:9" ht="15.75" x14ac:dyDescent="0.25">
      <c r="A110" s="6" t="s">
        <v>151</v>
      </c>
      <c r="D110" s="28"/>
      <c r="E110" s="28"/>
      <c r="F110" s="119"/>
      <c r="G110" s="28"/>
      <c r="H110" s="28"/>
      <c r="I110" s="28"/>
    </row>
    <row r="111" spans="1:9" x14ac:dyDescent="0.2">
      <c r="A111" s="98" t="s">
        <v>66</v>
      </c>
      <c r="B111" s="137">
        <f>'SDA 6'!$B$14+'SDA 6'!$C$14</f>
        <v>0</v>
      </c>
      <c r="D111" s="143" t="s">
        <v>70</v>
      </c>
      <c r="E111" s="143"/>
      <c r="F111" s="137">
        <f>IFERROR('SDA 6'!$G$20,0)</f>
        <v>0</v>
      </c>
      <c r="G111" s="156"/>
      <c r="H111" s="156"/>
      <c r="I111" s="112"/>
    </row>
    <row r="112" spans="1:9" x14ac:dyDescent="0.2">
      <c r="A112" s="98" t="s">
        <v>67</v>
      </c>
      <c r="B112" s="137">
        <f>'SDA 6'!$B$15+'SDA 6'!$C$15</f>
        <v>0</v>
      </c>
      <c r="D112" s="178" t="s">
        <v>88</v>
      </c>
      <c r="E112" s="143"/>
      <c r="F112" s="137" t="str">
        <f>IFERROR('SDA 6'!$G$25,0)</f>
        <v>NA</v>
      </c>
      <c r="G112" s="28"/>
      <c r="H112" s="28"/>
      <c r="I112" s="28"/>
    </row>
    <row r="113" spans="1:9" x14ac:dyDescent="0.2">
      <c r="A113" s="98" t="s">
        <v>68</v>
      </c>
      <c r="B113" s="137">
        <f>'SDA 6'!$B$16+'SDA 6'!$C$16</f>
        <v>0</v>
      </c>
      <c r="G113" s="32"/>
      <c r="H113" s="32"/>
      <c r="I113" s="158"/>
    </row>
    <row r="114" spans="1:9" x14ac:dyDescent="0.2">
      <c r="A114" s="98" t="s">
        <v>143</v>
      </c>
      <c r="B114" s="137">
        <f>'SDA 6'!$B$18+'SDA 6'!$C$18</f>
        <v>0</v>
      </c>
      <c r="G114" s="32"/>
      <c r="H114" s="32"/>
      <c r="I114" s="158"/>
    </row>
    <row r="115" spans="1:9" x14ac:dyDescent="0.2">
      <c r="A115" s="98" t="s">
        <v>69</v>
      </c>
      <c r="B115" s="137">
        <f>'SDA 6'!$B$19+'SDA 6'!$C$19</f>
        <v>0</v>
      </c>
      <c r="D115" s="83"/>
      <c r="E115" s="83"/>
      <c r="F115" s="119"/>
      <c r="G115" s="28"/>
      <c r="H115" s="28"/>
      <c r="I115" s="28"/>
    </row>
    <row r="116" spans="1:9" x14ac:dyDescent="0.2">
      <c r="A116" s="28"/>
      <c r="B116" s="119"/>
      <c r="C116" s="28"/>
      <c r="D116" s="28"/>
      <c r="E116" s="28"/>
      <c r="F116" s="119"/>
      <c r="G116" s="28"/>
      <c r="H116" s="28"/>
      <c r="I116" s="28"/>
    </row>
    <row r="117" spans="1:9" x14ac:dyDescent="0.2">
      <c r="A117" s="98" t="s">
        <v>48</v>
      </c>
      <c r="B117" s="137">
        <f>'SDA 6'!$P$84</f>
        <v>0</v>
      </c>
      <c r="C117" s="28"/>
      <c r="D117" s="28"/>
      <c r="E117" s="28"/>
      <c r="F117" s="119"/>
      <c r="G117" s="28"/>
      <c r="H117" s="28"/>
      <c r="I117" s="28"/>
    </row>
    <row r="118" spans="1:9" x14ac:dyDescent="0.2">
      <c r="A118" s="98" t="s">
        <v>49</v>
      </c>
      <c r="B118" s="137">
        <f>IF(F111-B117&gt;0,F111-B117,0)</f>
        <v>0</v>
      </c>
      <c r="C118" s="28"/>
      <c r="D118" s="28"/>
      <c r="E118" s="28"/>
      <c r="F118" s="119"/>
      <c r="G118" s="28"/>
      <c r="H118" s="28"/>
      <c r="I118" s="28"/>
    </row>
    <row r="119" spans="1:9" x14ac:dyDescent="0.2">
      <c r="A119" s="164" t="s">
        <v>79</v>
      </c>
      <c r="B119" s="137">
        <f>B118*7.48</f>
        <v>0</v>
      </c>
      <c r="C119" s="28"/>
      <c r="D119" s="28"/>
      <c r="E119" s="28"/>
      <c r="F119" s="119"/>
      <c r="G119" s="28"/>
      <c r="H119" s="28"/>
      <c r="I119" s="28"/>
    </row>
    <row r="120" spans="1:9" x14ac:dyDescent="0.2">
      <c r="A120" s="87" t="s">
        <v>64</v>
      </c>
      <c r="B120" s="67" t="str">
        <f>IFERROR('SDA 6'!$P$89,NA())</f>
        <v>N/A</v>
      </c>
      <c r="C120" s="28"/>
      <c r="D120" s="28"/>
      <c r="E120" s="28"/>
      <c r="F120" s="119"/>
      <c r="G120" s="28"/>
      <c r="H120" s="28"/>
      <c r="I120" s="28"/>
    </row>
    <row r="121" spans="1:9" x14ac:dyDescent="0.2">
      <c r="A121" s="87" t="s">
        <v>116</v>
      </c>
      <c r="B121" s="67" t="str">
        <f>IFERROR('SDA 6'!$P$90,NA())</f>
        <v>N/A</v>
      </c>
      <c r="C121" s="28"/>
      <c r="D121" s="28"/>
      <c r="E121" s="28"/>
      <c r="F121" s="119"/>
      <c r="G121" s="28"/>
      <c r="H121" s="28"/>
      <c r="I121" s="28"/>
    </row>
    <row r="122" spans="1:9" x14ac:dyDescent="0.2">
      <c r="A122" s="28"/>
      <c r="B122" s="119"/>
      <c r="C122" s="28"/>
      <c r="D122" s="28"/>
      <c r="E122" s="28"/>
      <c r="F122" s="119"/>
      <c r="G122" s="28"/>
      <c r="H122" s="28"/>
      <c r="I122" s="28"/>
    </row>
    <row r="123" spans="1:9" x14ac:dyDescent="0.2">
      <c r="A123" s="165" t="str">
        <f>$A$18</f>
        <v>Treatment Required?</v>
      </c>
      <c r="B123" s="170" t="str">
        <f>IFERROR('SDA 6'!$P$91,NA())</f>
        <v>No</v>
      </c>
      <c r="C123" s="28"/>
      <c r="D123" s="28"/>
      <c r="E123" s="28"/>
      <c r="F123" s="119"/>
      <c r="G123" s="28"/>
      <c r="H123" s="28"/>
      <c r="I123" s="28"/>
    </row>
    <row r="124" spans="1:9" x14ac:dyDescent="0.2">
      <c r="A124" s="165" t="str">
        <f>$A$19</f>
        <v>Volume Treated (cubic feet)</v>
      </c>
      <c r="B124" s="170">
        <f>'SDA 6'!$T$84</f>
        <v>0</v>
      </c>
      <c r="C124" s="28"/>
      <c r="D124" s="28"/>
      <c r="E124" s="28"/>
      <c r="F124" s="119"/>
      <c r="G124" s="28"/>
      <c r="H124" s="28"/>
      <c r="I124" s="28"/>
    </row>
    <row r="125" spans="1:9" x14ac:dyDescent="0.2">
      <c r="A125" s="165" t="str">
        <f>'SDA 1'!$S$86</f>
        <v>Volume Remaining to Treat 50% of the SWRv (cubic feet)</v>
      </c>
      <c r="B125" s="170">
        <f>'SDA 6'!$T$86</f>
        <v>0</v>
      </c>
      <c r="C125" s="28"/>
      <c r="D125" s="28"/>
      <c r="E125" s="28"/>
      <c r="F125" s="119"/>
      <c r="G125" s="28"/>
      <c r="H125" s="28"/>
      <c r="I125" s="28"/>
    </row>
    <row r="126" spans="1:9" x14ac:dyDescent="0.2">
      <c r="A126" s="165" t="str">
        <f>'SDA 1'!$S$87</f>
        <v>Volume Remaining to Treat 50% of the SWRv (gallons)</v>
      </c>
      <c r="B126" s="170">
        <f>'SDA 6'!$T$87</f>
        <v>0</v>
      </c>
      <c r="C126" s="28"/>
      <c r="D126" s="28"/>
      <c r="E126" s="28"/>
      <c r="F126" s="119"/>
      <c r="G126" s="28"/>
      <c r="H126" s="28"/>
      <c r="I126" s="28"/>
    </row>
    <row r="127" spans="1:9" x14ac:dyDescent="0.2">
      <c r="A127" s="165" t="str">
        <f>'SDA 1'!$S$89</f>
        <v>Volume Remaining to Treat WQTv (cubic feet)</v>
      </c>
      <c r="B127" s="170" t="str">
        <f>'SDA 6'!$T$89</f>
        <v>N/A</v>
      </c>
      <c r="C127" s="28"/>
      <c r="D127" s="28"/>
      <c r="E127" s="28"/>
      <c r="F127" s="119"/>
      <c r="G127" s="28"/>
      <c r="H127" s="28"/>
      <c r="I127" s="28"/>
    </row>
    <row r="128" spans="1:9" x14ac:dyDescent="0.2">
      <c r="A128" s="165" t="str">
        <f>'SDA 1'!$S$90</f>
        <v>Volume Remaining to Treat WQTv (gallons)</v>
      </c>
      <c r="B128" s="170" t="str">
        <f>'SDA 6'!$T$90</f>
        <v>N/A</v>
      </c>
      <c r="C128" s="28"/>
      <c r="D128" s="28"/>
      <c r="E128" s="28"/>
      <c r="F128" s="119"/>
      <c r="G128" s="28"/>
      <c r="H128" s="28"/>
      <c r="I128" s="28"/>
    </row>
    <row r="129" spans="1:9" x14ac:dyDescent="0.2">
      <c r="A129" s="40"/>
      <c r="B129" s="171"/>
      <c r="C129" s="28"/>
      <c r="D129" s="28"/>
      <c r="E129" s="28"/>
      <c r="F129" s="119"/>
      <c r="G129" s="28"/>
      <c r="H129" s="28"/>
      <c r="I129" s="28"/>
    </row>
    <row r="130" spans="1:9" x14ac:dyDescent="0.2">
      <c r="A130" s="40"/>
      <c r="B130" s="171"/>
      <c r="C130" s="28"/>
      <c r="D130" s="28"/>
      <c r="E130" s="28"/>
      <c r="F130" s="119"/>
      <c r="G130" s="28"/>
      <c r="H130" s="28"/>
      <c r="I130" s="28"/>
    </row>
    <row r="131" spans="1:9" ht="15.75" x14ac:dyDescent="0.25">
      <c r="A131" s="6" t="s">
        <v>152</v>
      </c>
      <c r="D131" s="28"/>
      <c r="E131" s="28"/>
      <c r="F131" s="119"/>
      <c r="G131" s="28"/>
      <c r="H131" s="28"/>
      <c r="I131" s="28"/>
    </row>
    <row r="132" spans="1:9" x14ac:dyDescent="0.2">
      <c r="A132" s="98" t="s">
        <v>66</v>
      </c>
      <c r="B132" s="137">
        <f>'SDA 7'!$B$14+'SDA 7'!$C$14</f>
        <v>0</v>
      </c>
      <c r="D132" s="143" t="s">
        <v>70</v>
      </c>
      <c r="E132" s="143"/>
      <c r="F132" s="137">
        <f>IFERROR('SDA 7'!$G$20,0)</f>
        <v>0</v>
      </c>
      <c r="G132" s="156"/>
      <c r="H132" s="156"/>
      <c r="I132" s="112"/>
    </row>
    <row r="133" spans="1:9" x14ac:dyDescent="0.2">
      <c r="A133" s="98" t="s">
        <v>67</v>
      </c>
      <c r="B133" s="137">
        <f>'SDA 7'!$B$15+'SDA 7'!$C$15</f>
        <v>0</v>
      </c>
      <c r="D133" s="178" t="s">
        <v>88</v>
      </c>
      <c r="E133" s="143"/>
      <c r="F133" s="137" t="str">
        <f>IFERROR('SDA 7'!$G$25,0)</f>
        <v>NA</v>
      </c>
      <c r="G133" s="28"/>
      <c r="H133" s="28"/>
      <c r="I133" s="28"/>
    </row>
    <row r="134" spans="1:9" x14ac:dyDescent="0.2">
      <c r="A134" s="98" t="s">
        <v>68</v>
      </c>
      <c r="B134" s="137">
        <f>'SDA 7'!$B$16+'SDA 7'!$C$16</f>
        <v>0</v>
      </c>
      <c r="G134" s="32"/>
      <c r="H134" s="32"/>
      <c r="I134" s="158"/>
    </row>
    <row r="135" spans="1:9" x14ac:dyDescent="0.2">
      <c r="A135" s="98" t="s">
        <v>143</v>
      </c>
      <c r="B135" s="137">
        <f>'SDA 7'!$B$18+'SDA 7'!$C$18</f>
        <v>0</v>
      </c>
      <c r="G135" s="32"/>
      <c r="H135" s="32"/>
      <c r="I135" s="158"/>
    </row>
    <row r="136" spans="1:9" x14ac:dyDescent="0.2">
      <c r="A136" s="98" t="s">
        <v>69</v>
      </c>
      <c r="B136" s="137">
        <f>'SDA 7'!$B$19+'SDA 7'!$C$19</f>
        <v>0</v>
      </c>
      <c r="D136" s="83"/>
      <c r="E136" s="83"/>
      <c r="F136" s="119"/>
      <c r="G136" s="28"/>
      <c r="H136" s="28"/>
      <c r="I136" s="28"/>
    </row>
    <row r="137" spans="1:9" x14ac:dyDescent="0.2">
      <c r="A137" s="28"/>
      <c r="B137" s="119"/>
      <c r="C137" s="28"/>
      <c r="D137" s="28"/>
      <c r="E137" s="28"/>
      <c r="F137" s="119"/>
      <c r="G137" s="28"/>
      <c r="H137" s="28"/>
      <c r="I137" s="28"/>
    </row>
    <row r="138" spans="1:9" x14ac:dyDescent="0.2">
      <c r="A138" s="98" t="s">
        <v>48</v>
      </c>
      <c r="B138" s="137">
        <f>'SDA 7'!$P$84</f>
        <v>0</v>
      </c>
      <c r="C138" s="28"/>
      <c r="D138" s="28"/>
      <c r="E138" s="28"/>
      <c r="F138" s="119"/>
      <c r="G138" s="28"/>
      <c r="H138" s="28"/>
      <c r="I138" s="28"/>
    </row>
    <row r="139" spans="1:9" x14ac:dyDescent="0.2">
      <c r="A139" s="98" t="s">
        <v>49</v>
      </c>
      <c r="B139" s="137">
        <f>IF(F132-B138&gt;0,F132-B138,0)</f>
        <v>0</v>
      </c>
      <c r="C139" s="28"/>
      <c r="D139" s="28"/>
      <c r="E139" s="28"/>
      <c r="F139" s="119"/>
      <c r="G139" s="28"/>
      <c r="H139" s="28"/>
      <c r="I139" s="28"/>
    </row>
    <row r="140" spans="1:9" x14ac:dyDescent="0.2">
      <c r="A140" s="164" t="s">
        <v>79</v>
      </c>
      <c r="B140" s="137">
        <f>B139*7.48</f>
        <v>0</v>
      </c>
      <c r="C140" s="28"/>
      <c r="D140" s="28"/>
      <c r="E140" s="28"/>
      <c r="F140" s="119"/>
      <c r="G140" s="28"/>
      <c r="H140" s="28"/>
      <c r="I140" s="28"/>
    </row>
    <row r="141" spans="1:9" x14ac:dyDescent="0.2">
      <c r="A141" s="87" t="s">
        <v>64</v>
      </c>
      <c r="B141" s="67" t="str">
        <f>IFERROR('SDA 7'!$P$89,NA())</f>
        <v>N/A</v>
      </c>
      <c r="C141" s="28"/>
      <c r="D141" s="28"/>
      <c r="E141" s="28"/>
      <c r="F141" s="119"/>
      <c r="G141" s="28"/>
      <c r="H141" s="28"/>
      <c r="I141" s="28"/>
    </row>
    <row r="142" spans="1:9" x14ac:dyDescent="0.2">
      <c r="A142" s="87" t="s">
        <v>116</v>
      </c>
      <c r="B142" s="67" t="str">
        <f>IFERROR('SDA 7'!$P$90,NA())</f>
        <v>N/A</v>
      </c>
      <c r="C142" s="28"/>
      <c r="D142" s="28"/>
      <c r="E142" s="28"/>
      <c r="F142" s="119"/>
      <c r="G142" s="28"/>
      <c r="H142" s="28"/>
      <c r="I142" s="28"/>
    </row>
    <row r="143" spans="1:9" x14ac:dyDescent="0.2">
      <c r="A143" s="28"/>
      <c r="B143" s="119"/>
      <c r="C143" s="28"/>
      <c r="D143" s="28"/>
      <c r="E143" s="28"/>
      <c r="F143" s="119"/>
      <c r="G143" s="28"/>
      <c r="H143" s="28"/>
      <c r="I143" s="28"/>
    </row>
    <row r="144" spans="1:9" x14ac:dyDescent="0.2">
      <c r="A144" s="165" t="str">
        <f>$A$18</f>
        <v>Treatment Required?</v>
      </c>
      <c r="B144" s="170" t="str">
        <f>IFERROR('SDA 7'!$P$91,NA())</f>
        <v>No</v>
      </c>
      <c r="C144" s="28"/>
      <c r="D144" s="28"/>
      <c r="E144" s="28"/>
      <c r="F144" s="119"/>
      <c r="G144" s="28"/>
      <c r="H144" s="28"/>
      <c r="I144" s="28"/>
    </row>
    <row r="145" spans="1:9" x14ac:dyDescent="0.2">
      <c r="A145" s="165" t="str">
        <f>$A$19</f>
        <v>Volume Treated (cubic feet)</v>
      </c>
      <c r="B145" s="170">
        <f>'SDA 7'!$T$84</f>
        <v>0</v>
      </c>
      <c r="C145" s="28"/>
      <c r="D145" s="28"/>
      <c r="E145" s="28"/>
      <c r="F145" s="119"/>
      <c r="G145" s="28"/>
      <c r="H145" s="28"/>
      <c r="I145" s="28"/>
    </row>
    <row r="146" spans="1:9" x14ac:dyDescent="0.2">
      <c r="A146" s="165" t="str">
        <f>'SDA 1'!$S$86</f>
        <v>Volume Remaining to Treat 50% of the SWRv (cubic feet)</v>
      </c>
      <c r="B146" s="170">
        <f>'SDA 7'!$T$86</f>
        <v>0</v>
      </c>
      <c r="C146" s="28"/>
      <c r="D146" s="28"/>
      <c r="E146" s="28"/>
      <c r="F146" s="119"/>
      <c r="G146" s="28"/>
      <c r="H146" s="28"/>
      <c r="I146" s="28"/>
    </row>
    <row r="147" spans="1:9" x14ac:dyDescent="0.2">
      <c r="A147" s="165" t="str">
        <f>'SDA 1'!$S$87</f>
        <v>Volume Remaining to Treat 50% of the SWRv (gallons)</v>
      </c>
      <c r="B147" s="170">
        <f>'SDA 7'!$T$87</f>
        <v>0</v>
      </c>
      <c r="C147" s="28"/>
      <c r="D147" s="28"/>
      <c r="E147" s="28"/>
      <c r="F147" s="119"/>
      <c r="G147" s="28"/>
      <c r="H147" s="28"/>
      <c r="I147" s="28"/>
    </row>
    <row r="148" spans="1:9" x14ac:dyDescent="0.2">
      <c r="A148" s="165" t="str">
        <f>'SDA 1'!$S$89</f>
        <v>Volume Remaining to Treat WQTv (cubic feet)</v>
      </c>
      <c r="B148" s="170" t="str">
        <f>'SDA 7'!$T$89</f>
        <v>N/A</v>
      </c>
      <c r="C148" s="28"/>
      <c r="D148" s="28"/>
      <c r="E148" s="28"/>
      <c r="F148" s="119"/>
      <c r="G148" s="28"/>
      <c r="H148" s="28"/>
      <c r="I148" s="28"/>
    </row>
    <row r="149" spans="1:9" x14ac:dyDescent="0.2">
      <c r="A149" s="165" t="str">
        <f>'SDA 1'!$S$90</f>
        <v>Volume Remaining to Treat WQTv (gallons)</v>
      </c>
      <c r="B149" s="170" t="str">
        <f>'SDA 7'!$T$90</f>
        <v>N/A</v>
      </c>
      <c r="C149" s="28"/>
      <c r="D149" s="28"/>
      <c r="E149" s="28"/>
      <c r="F149" s="119"/>
      <c r="G149" s="28"/>
      <c r="H149" s="28"/>
      <c r="I149" s="28"/>
    </row>
    <row r="150" spans="1:9" x14ac:dyDescent="0.2">
      <c r="A150" s="40"/>
      <c r="B150" s="171"/>
      <c r="C150" s="28"/>
      <c r="D150" s="28"/>
      <c r="E150" s="28"/>
      <c r="F150" s="119"/>
      <c r="G150" s="28"/>
      <c r="H150" s="28"/>
      <c r="I150" s="28"/>
    </row>
    <row r="151" spans="1:9" x14ac:dyDescent="0.2">
      <c r="A151" s="40"/>
      <c r="B151" s="171"/>
      <c r="C151" s="28"/>
      <c r="D151" s="28"/>
      <c r="E151" s="28"/>
      <c r="F151" s="119"/>
      <c r="G151" s="28"/>
      <c r="H151" s="28"/>
      <c r="I151" s="28"/>
    </row>
    <row r="152" spans="1:9" ht="15.75" x14ac:dyDescent="0.25">
      <c r="A152" s="6" t="s">
        <v>153</v>
      </c>
      <c r="D152" s="28"/>
      <c r="E152" s="28"/>
      <c r="F152" s="119"/>
      <c r="G152" s="28"/>
      <c r="H152" s="28"/>
      <c r="I152" s="28"/>
    </row>
    <row r="153" spans="1:9" x14ac:dyDescent="0.2">
      <c r="A153" s="98" t="s">
        <v>66</v>
      </c>
      <c r="B153" s="137">
        <f>'SDA 8'!$B$14+'SDA 8'!$C$14</f>
        <v>0</v>
      </c>
      <c r="D153" s="143" t="s">
        <v>70</v>
      </c>
      <c r="E153" s="143"/>
      <c r="F153" s="137">
        <f>IFERROR('SDA 8'!$G$20,0)</f>
        <v>0</v>
      </c>
      <c r="G153" s="156"/>
      <c r="H153" s="156"/>
      <c r="I153" s="112"/>
    </row>
    <row r="154" spans="1:9" x14ac:dyDescent="0.2">
      <c r="A154" s="98" t="s">
        <v>67</v>
      </c>
      <c r="B154" s="137">
        <f>'SDA 8'!$B$15+'SDA 8'!$C$15</f>
        <v>0</v>
      </c>
      <c r="D154" s="178" t="s">
        <v>88</v>
      </c>
      <c r="E154" s="143"/>
      <c r="F154" s="137" t="str">
        <f>IFERROR('SDA 8'!$G$25,0)</f>
        <v>NA</v>
      </c>
      <c r="G154" s="28"/>
      <c r="H154" s="28"/>
      <c r="I154" s="28"/>
    </row>
    <row r="155" spans="1:9" x14ac:dyDescent="0.2">
      <c r="A155" s="98" t="s">
        <v>68</v>
      </c>
      <c r="B155" s="137">
        <f>'SDA 8'!$B$16+'SDA 8'!$C$16</f>
        <v>0</v>
      </c>
      <c r="G155" s="32"/>
      <c r="H155" s="32"/>
      <c r="I155" s="158"/>
    </row>
    <row r="156" spans="1:9" x14ac:dyDescent="0.2">
      <c r="A156" s="98" t="s">
        <v>143</v>
      </c>
      <c r="B156" s="137">
        <f>'SDA 8'!$B$18+'SDA 8'!$C$18</f>
        <v>0</v>
      </c>
      <c r="G156" s="32"/>
      <c r="H156" s="32"/>
      <c r="I156" s="158"/>
    </row>
    <row r="157" spans="1:9" x14ac:dyDescent="0.2">
      <c r="A157" s="98" t="s">
        <v>69</v>
      </c>
      <c r="B157" s="137">
        <f>'SDA 8'!$B$19+'SDA 8'!$C$19</f>
        <v>0</v>
      </c>
      <c r="D157" s="83"/>
      <c r="E157" s="83"/>
      <c r="F157" s="119"/>
      <c r="G157" s="28"/>
      <c r="H157" s="28"/>
      <c r="I157" s="28"/>
    </row>
    <row r="158" spans="1:9" x14ac:dyDescent="0.2">
      <c r="A158" s="28"/>
      <c r="B158" s="119"/>
      <c r="C158" s="28"/>
      <c r="D158" s="28"/>
      <c r="E158" s="28"/>
      <c r="F158" s="119"/>
      <c r="G158" s="28"/>
      <c r="H158" s="28"/>
      <c r="I158" s="28"/>
    </row>
    <row r="159" spans="1:9" x14ac:dyDescent="0.2">
      <c r="A159" s="98" t="s">
        <v>48</v>
      </c>
      <c r="B159" s="137">
        <f>'SDA 8'!$P$84</f>
        <v>0</v>
      </c>
      <c r="C159" s="28"/>
      <c r="D159" s="28"/>
      <c r="E159" s="28"/>
      <c r="F159" s="119"/>
      <c r="G159" s="28"/>
      <c r="H159" s="28"/>
      <c r="I159" s="28"/>
    </row>
    <row r="160" spans="1:9" x14ac:dyDescent="0.2">
      <c r="A160" s="98" t="s">
        <v>49</v>
      </c>
      <c r="B160" s="137">
        <f>IF(F153-B159&gt;0,F153-B159,0)</f>
        <v>0</v>
      </c>
      <c r="C160" s="28"/>
      <c r="D160" s="28"/>
      <c r="E160" s="28"/>
      <c r="F160" s="119"/>
      <c r="G160" s="28"/>
      <c r="H160" s="28"/>
      <c r="I160" s="28"/>
    </row>
    <row r="161" spans="1:9" x14ac:dyDescent="0.2">
      <c r="A161" s="164" t="s">
        <v>79</v>
      </c>
      <c r="B161" s="137">
        <f>B160*7.48</f>
        <v>0</v>
      </c>
      <c r="C161" s="28"/>
      <c r="D161" s="28"/>
      <c r="E161" s="28"/>
      <c r="F161" s="119"/>
      <c r="G161" s="28"/>
      <c r="H161" s="28"/>
      <c r="I161" s="28"/>
    </row>
    <row r="162" spans="1:9" x14ac:dyDescent="0.2">
      <c r="A162" s="87" t="s">
        <v>64</v>
      </c>
      <c r="B162" s="67" t="str">
        <f>IFERROR('SDA 8'!$P$89,NA())</f>
        <v>N/A</v>
      </c>
      <c r="C162" s="28"/>
      <c r="D162" s="28"/>
      <c r="E162" s="28"/>
      <c r="F162" s="119"/>
      <c r="G162" s="28"/>
      <c r="H162" s="28"/>
      <c r="I162" s="28"/>
    </row>
    <row r="163" spans="1:9" x14ac:dyDescent="0.2">
      <c r="A163" s="87" t="s">
        <v>116</v>
      </c>
      <c r="B163" s="67" t="str">
        <f>IFERROR('SDA 8'!$P$90,NA())</f>
        <v>N/A</v>
      </c>
      <c r="C163" s="28"/>
      <c r="D163" s="28"/>
      <c r="E163" s="28"/>
      <c r="F163" s="119"/>
      <c r="G163" s="28"/>
      <c r="H163" s="28"/>
      <c r="I163" s="28"/>
    </row>
    <row r="164" spans="1:9" x14ac:dyDescent="0.2">
      <c r="A164" s="28"/>
      <c r="B164" s="119"/>
      <c r="C164" s="28"/>
      <c r="D164" s="28"/>
      <c r="E164" s="28"/>
      <c r="F164" s="119"/>
      <c r="G164" s="28"/>
      <c r="H164" s="28"/>
      <c r="I164" s="28"/>
    </row>
    <row r="165" spans="1:9" x14ac:dyDescent="0.2">
      <c r="A165" s="165" t="str">
        <f>$A$18</f>
        <v>Treatment Required?</v>
      </c>
      <c r="B165" s="170" t="str">
        <f>IFERROR('SDA 8'!$P$91,NA())</f>
        <v>No</v>
      </c>
      <c r="C165" s="28"/>
      <c r="D165" s="28"/>
      <c r="E165" s="28"/>
      <c r="F165" s="119"/>
      <c r="G165" s="28"/>
      <c r="H165" s="28"/>
      <c r="I165" s="28"/>
    </row>
    <row r="166" spans="1:9" x14ac:dyDescent="0.2">
      <c r="A166" s="165" t="str">
        <f>$A$19</f>
        <v>Volume Treated (cubic feet)</v>
      </c>
      <c r="B166" s="170">
        <f>'SDA 8'!$T$84</f>
        <v>0</v>
      </c>
      <c r="C166" s="28"/>
      <c r="D166" s="28"/>
      <c r="E166" s="28"/>
      <c r="F166" s="119"/>
      <c r="G166" s="28"/>
      <c r="H166" s="28"/>
      <c r="I166" s="28"/>
    </row>
    <row r="167" spans="1:9" x14ac:dyDescent="0.2">
      <c r="A167" s="165" t="str">
        <f>'SDA 1'!$S$86</f>
        <v>Volume Remaining to Treat 50% of the SWRv (cubic feet)</v>
      </c>
      <c r="B167" s="170">
        <f>'SDA 8'!$T$86</f>
        <v>0</v>
      </c>
      <c r="C167" s="28"/>
      <c r="D167" s="28"/>
      <c r="E167" s="28"/>
      <c r="F167" s="119"/>
      <c r="G167" s="28"/>
      <c r="H167" s="28"/>
      <c r="I167" s="28"/>
    </row>
    <row r="168" spans="1:9" x14ac:dyDescent="0.2">
      <c r="A168" s="165" t="str">
        <f>'SDA 1'!$S$87</f>
        <v>Volume Remaining to Treat 50% of the SWRv (gallons)</v>
      </c>
      <c r="B168" s="170">
        <f>'SDA 8'!$T$87</f>
        <v>0</v>
      </c>
      <c r="C168" s="28"/>
      <c r="D168" s="28"/>
      <c r="E168" s="28"/>
      <c r="F168" s="119"/>
      <c r="G168" s="28"/>
      <c r="H168" s="28"/>
      <c r="I168" s="28"/>
    </row>
    <row r="169" spans="1:9" x14ac:dyDescent="0.2">
      <c r="A169" s="165" t="str">
        <f>'SDA 1'!$S$89</f>
        <v>Volume Remaining to Treat WQTv (cubic feet)</v>
      </c>
      <c r="B169" s="170" t="str">
        <f>'SDA 8'!$T$89</f>
        <v>N/A</v>
      </c>
      <c r="C169" s="28"/>
      <c r="D169" s="28"/>
      <c r="E169" s="28"/>
      <c r="F169" s="119"/>
      <c r="G169" s="28"/>
      <c r="H169" s="28"/>
      <c r="I169" s="28"/>
    </row>
    <row r="170" spans="1:9" x14ac:dyDescent="0.2">
      <c r="A170" s="165" t="str">
        <f>'SDA 1'!$S$90</f>
        <v>Volume Remaining to Treat WQTv (gallons)</v>
      </c>
      <c r="B170" s="170" t="str">
        <f>'SDA 8'!$T$90</f>
        <v>N/A</v>
      </c>
      <c r="C170" s="28"/>
      <c r="D170" s="28"/>
      <c r="E170" s="28"/>
      <c r="F170" s="119"/>
      <c r="G170" s="28"/>
      <c r="H170" s="28"/>
      <c r="I170" s="28"/>
    </row>
    <row r="171" spans="1:9" x14ac:dyDescent="0.2">
      <c r="A171" s="40"/>
      <c r="B171" s="171"/>
      <c r="C171" s="28"/>
      <c r="D171" s="28"/>
      <c r="E171" s="28"/>
      <c r="F171" s="119"/>
      <c r="G171" s="28"/>
      <c r="H171" s="28"/>
      <c r="I171" s="28"/>
    </row>
    <row r="172" spans="1:9" x14ac:dyDescent="0.2">
      <c r="A172" s="40"/>
      <c r="B172" s="171"/>
      <c r="C172" s="28"/>
      <c r="D172" s="28"/>
      <c r="E172" s="28"/>
      <c r="F172" s="119"/>
      <c r="G172" s="28"/>
      <c r="H172" s="28"/>
      <c r="I172" s="28"/>
    </row>
    <row r="173" spans="1:9" ht="15.75" x14ac:dyDescent="0.25">
      <c r="A173" s="6" t="s">
        <v>154</v>
      </c>
      <c r="D173" s="28"/>
      <c r="E173" s="28"/>
      <c r="F173" s="119"/>
      <c r="G173" s="28"/>
      <c r="H173" s="28"/>
      <c r="I173" s="28"/>
    </row>
    <row r="174" spans="1:9" x14ac:dyDescent="0.2">
      <c r="A174" s="98" t="s">
        <v>66</v>
      </c>
      <c r="B174" s="137">
        <f>'SDA 9'!$B$14+'SDA 9'!$C$14</f>
        <v>0</v>
      </c>
      <c r="D174" s="143" t="s">
        <v>70</v>
      </c>
      <c r="E174" s="143"/>
      <c r="F174" s="137">
        <f>IFERROR('SDA 9'!$G$20,0)</f>
        <v>0</v>
      </c>
      <c r="G174" s="156"/>
      <c r="H174" s="156"/>
      <c r="I174" s="112"/>
    </row>
    <row r="175" spans="1:9" x14ac:dyDescent="0.2">
      <c r="A175" s="98" t="s">
        <v>67</v>
      </c>
      <c r="B175" s="137">
        <f>'SDA 9'!$B$15+'SDA 9'!$C$15</f>
        <v>0</v>
      </c>
      <c r="D175" s="178" t="s">
        <v>88</v>
      </c>
      <c r="E175" s="143"/>
      <c r="F175" s="137" t="str">
        <f>IFERROR('SDA 9'!$G$25,0)</f>
        <v>NA</v>
      </c>
      <c r="G175" s="28"/>
      <c r="H175" s="28"/>
      <c r="I175" s="28"/>
    </row>
    <row r="176" spans="1:9" x14ac:dyDescent="0.2">
      <c r="A176" s="98" t="s">
        <v>68</v>
      </c>
      <c r="B176" s="137">
        <f>'SDA 9'!$B$16+'SDA 9'!$C$16</f>
        <v>0</v>
      </c>
      <c r="G176" s="32"/>
      <c r="H176" s="32"/>
      <c r="I176" s="158"/>
    </row>
    <row r="177" spans="1:9" x14ac:dyDescent="0.2">
      <c r="A177" s="98" t="s">
        <v>143</v>
      </c>
      <c r="B177" s="137">
        <f>'SDA 9'!$B$18+'SDA 9'!$C$18</f>
        <v>0</v>
      </c>
      <c r="G177" s="32"/>
      <c r="H177" s="32"/>
      <c r="I177" s="158"/>
    </row>
    <row r="178" spans="1:9" x14ac:dyDescent="0.2">
      <c r="A178" s="98" t="s">
        <v>69</v>
      </c>
      <c r="B178" s="137">
        <f>'SDA 9'!$B$19+'SDA 9'!$C$19</f>
        <v>0</v>
      </c>
      <c r="D178" s="83"/>
      <c r="E178" s="83"/>
      <c r="F178" s="119"/>
      <c r="G178" s="28"/>
      <c r="H178" s="28"/>
      <c r="I178" s="28"/>
    </row>
    <row r="179" spans="1:9" x14ac:dyDescent="0.2">
      <c r="A179" s="28"/>
      <c r="B179" s="119"/>
      <c r="C179" s="28"/>
      <c r="D179" s="28"/>
      <c r="E179" s="28"/>
      <c r="F179" s="119"/>
      <c r="G179" s="28"/>
      <c r="H179" s="28"/>
      <c r="I179" s="28"/>
    </row>
    <row r="180" spans="1:9" x14ac:dyDescent="0.2">
      <c r="A180" s="98" t="s">
        <v>48</v>
      </c>
      <c r="B180" s="137">
        <f>'SDA 9'!$P$84</f>
        <v>0</v>
      </c>
      <c r="C180" s="28"/>
      <c r="D180" s="28"/>
      <c r="E180" s="28"/>
      <c r="F180" s="119"/>
      <c r="G180" s="28"/>
      <c r="H180" s="28"/>
      <c r="I180" s="28"/>
    </row>
    <row r="181" spans="1:9" x14ac:dyDescent="0.2">
      <c r="A181" s="98" t="s">
        <v>49</v>
      </c>
      <c r="B181" s="137">
        <f>IF(F174-B180&gt;0,F174-B180,0)</f>
        <v>0</v>
      </c>
      <c r="C181" s="28"/>
      <c r="D181" s="28"/>
      <c r="E181" s="28"/>
      <c r="F181" s="119"/>
      <c r="G181" s="28"/>
      <c r="H181" s="28"/>
      <c r="I181" s="28"/>
    </row>
    <row r="182" spans="1:9" x14ac:dyDescent="0.2">
      <c r="A182" s="164" t="s">
        <v>79</v>
      </c>
      <c r="B182" s="137">
        <f>B181*7.48</f>
        <v>0</v>
      </c>
      <c r="C182" s="28"/>
      <c r="D182" s="28"/>
      <c r="E182" s="28"/>
      <c r="F182" s="119"/>
      <c r="G182" s="28"/>
      <c r="H182" s="28"/>
      <c r="I182" s="28"/>
    </row>
    <row r="183" spans="1:9" x14ac:dyDescent="0.2">
      <c r="A183" s="87" t="s">
        <v>64</v>
      </c>
      <c r="B183" s="67" t="str">
        <f>IFERROR('SDA 9'!$P$89,NA())</f>
        <v>N/A</v>
      </c>
      <c r="C183" s="28"/>
      <c r="D183" s="28"/>
      <c r="E183" s="28"/>
      <c r="F183" s="119"/>
      <c r="G183" s="28"/>
      <c r="H183" s="28"/>
      <c r="I183" s="28"/>
    </row>
    <row r="184" spans="1:9" x14ac:dyDescent="0.2">
      <c r="A184" s="87" t="s">
        <v>116</v>
      </c>
      <c r="B184" s="67" t="str">
        <f>IFERROR('SDA 9'!$P$90,NA())</f>
        <v>N/A</v>
      </c>
      <c r="C184" s="28"/>
      <c r="D184" s="28"/>
      <c r="E184" s="28"/>
      <c r="F184" s="119"/>
      <c r="G184" s="28"/>
      <c r="H184" s="28"/>
      <c r="I184" s="28"/>
    </row>
    <row r="185" spans="1:9" x14ac:dyDescent="0.2">
      <c r="A185" s="28"/>
      <c r="B185" s="119"/>
      <c r="C185" s="28"/>
      <c r="D185" s="28"/>
      <c r="E185" s="28"/>
      <c r="F185" s="119"/>
      <c r="G185" s="28"/>
      <c r="H185" s="28"/>
      <c r="I185" s="28"/>
    </row>
    <row r="186" spans="1:9" x14ac:dyDescent="0.2">
      <c r="A186" s="165" t="str">
        <f>$A$18</f>
        <v>Treatment Required?</v>
      </c>
      <c r="B186" s="170" t="str">
        <f>IFERROR('SDA 9'!$P$91,NA())</f>
        <v>No</v>
      </c>
      <c r="C186" s="28"/>
      <c r="D186" s="28"/>
      <c r="E186" s="28"/>
      <c r="F186" s="119"/>
      <c r="G186" s="28"/>
      <c r="H186" s="28"/>
      <c r="I186" s="28"/>
    </row>
    <row r="187" spans="1:9" x14ac:dyDescent="0.2">
      <c r="A187" s="165" t="str">
        <f>$A$19</f>
        <v>Volume Treated (cubic feet)</v>
      </c>
      <c r="B187" s="170">
        <f>'SDA 9'!$T$84</f>
        <v>0</v>
      </c>
      <c r="C187" s="28"/>
      <c r="D187" s="28"/>
      <c r="E187" s="28"/>
      <c r="F187" s="119"/>
      <c r="G187" s="28"/>
      <c r="H187" s="28"/>
      <c r="I187" s="28"/>
    </row>
    <row r="188" spans="1:9" x14ac:dyDescent="0.2">
      <c r="A188" s="165" t="str">
        <f>'SDA 1'!$S$86</f>
        <v>Volume Remaining to Treat 50% of the SWRv (cubic feet)</v>
      </c>
      <c r="B188" s="170">
        <f>'SDA 9'!$T$86</f>
        <v>0</v>
      </c>
      <c r="C188" s="28"/>
      <c r="D188" s="28"/>
      <c r="E188" s="28"/>
      <c r="F188" s="119"/>
      <c r="G188" s="28"/>
      <c r="H188" s="28"/>
      <c r="I188" s="28"/>
    </row>
    <row r="189" spans="1:9" x14ac:dyDescent="0.2">
      <c r="A189" s="165" t="str">
        <f>'SDA 1'!$S$87</f>
        <v>Volume Remaining to Treat 50% of the SWRv (gallons)</v>
      </c>
      <c r="B189" s="170">
        <f>'SDA 9'!$T$87</f>
        <v>0</v>
      </c>
      <c r="C189" s="28"/>
      <c r="D189" s="28"/>
      <c r="E189" s="28"/>
      <c r="F189" s="119"/>
      <c r="G189" s="28"/>
      <c r="H189" s="28"/>
      <c r="I189" s="28"/>
    </row>
    <row r="190" spans="1:9" x14ac:dyDescent="0.2">
      <c r="A190" s="165" t="str">
        <f>'SDA 1'!$S$89</f>
        <v>Volume Remaining to Treat WQTv (cubic feet)</v>
      </c>
      <c r="B190" s="170" t="str">
        <f>'SDA 9'!$T$89</f>
        <v>N/A</v>
      </c>
      <c r="C190" s="28"/>
      <c r="D190" s="28"/>
      <c r="E190" s="28"/>
      <c r="F190" s="119"/>
      <c r="G190" s="28"/>
      <c r="H190" s="28"/>
      <c r="I190" s="28"/>
    </row>
    <row r="191" spans="1:9" x14ac:dyDescent="0.2">
      <c r="A191" s="165" t="str">
        <f>'SDA 1'!$S$90</f>
        <v>Volume Remaining to Treat WQTv (gallons)</v>
      </c>
      <c r="B191" s="170" t="str">
        <f>'SDA 9'!$T$90</f>
        <v>N/A</v>
      </c>
      <c r="C191" s="28"/>
      <c r="D191" s="28"/>
      <c r="E191" s="28"/>
      <c r="F191" s="119"/>
      <c r="G191" s="28"/>
      <c r="H191" s="28"/>
      <c r="I191" s="28"/>
    </row>
    <row r="192" spans="1:9" x14ac:dyDescent="0.2">
      <c r="A192" s="40"/>
      <c r="B192" s="171"/>
      <c r="C192" s="28"/>
      <c r="D192" s="28"/>
      <c r="E192" s="28"/>
      <c r="F192" s="119"/>
      <c r="G192" s="28"/>
      <c r="H192" s="28"/>
      <c r="I192" s="28"/>
    </row>
    <row r="193" spans="1:9" x14ac:dyDescent="0.2">
      <c r="A193" s="40"/>
      <c r="B193" s="171"/>
      <c r="C193" s="28"/>
      <c r="D193" s="28"/>
      <c r="E193" s="28"/>
      <c r="F193" s="119"/>
      <c r="G193" s="28"/>
      <c r="H193" s="28"/>
      <c r="I193" s="28"/>
    </row>
    <row r="194" spans="1:9" ht="15.75" x14ac:dyDescent="0.25">
      <c r="A194" s="6" t="s">
        <v>155</v>
      </c>
      <c r="D194" s="28"/>
      <c r="E194" s="28"/>
      <c r="F194" s="119"/>
      <c r="G194" s="28"/>
      <c r="H194" s="28"/>
      <c r="I194" s="28"/>
    </row>
    <row r="195" spans="1:9" x14ac:dyDescent="0.2">
      <c r="A195" s="98" t="s">
        <v>66</v>
      </c>
      <c r="B195" s="137">
        <f>'SDA 10'!$B$14+'SDA 10'!$C$14</f>
        <v>0</v>
      </c>
      <c r="D195" s="143" t="s">
        <v>70</v>
      </c>
      <c r="E195" s="143"/>
      <c r="F195" s="137">
        <f>IFERROR('SDA 10'!$G$20,0)</f>
        <v>0</v>
      </c>
      <c r="G195" s="156"/>
      <c r="H195" s="156"/>
      <c r="I195" s="112"/>
    </row>
    <row r="196" spans="1:9" x14ac:dyDescent="0.2">
      <c r="A196" s="98" t="s">
        <v>67</v>
      </c>
      <c r="B196" s="137">
        <f>'SDA 10'!$B$15+'SDA 10'!$C$15</f>
        <v>0</v>
      </c>
      <c r="D196" s="178" t="s">
        <v>88</v>
      </c>
      <c r="E196" s="143"/>
      <c r="F196" s="137" t="str">
        <f>IFERROR('SDA 10'!$G$25,0)</f>
        <v>NA</v>
      </c>
      <c r="G196" s="28"/>
      <c r="H196" s="28"/>
      <c r="I196" s="28"/>
    </row>
    <row r="197" spans="1:9" x14ac:dyDescent="0.2">
      <c r="A197" s="98" t="s">
        <v>68</v>
      </c>
      <c r="B197" s="137">
        <f>'SDA 10'!$B$16+'SDA 10'!$C$16</f>
        <v>0</v>
      </c>
      <c r="G197" s="32"/>
      <c r="H197" s="32"/>
      <c r="I197" s="158"/>
    </row>
    <row r="198" spans="1:9" x14ac:dyDescent="0.2">
      <c r="A198" s="98" t="s">
        <v>143</v>
      </c>
      <c r="B198" s="137">
        <f>'SDA 10'!$B$18+'SDA 10'!$C$18</f>
        <v>0</v>
      </c>
      <c r="G198" s="32"/>
      <c r="H198" s="32"/>
      <c r="I198" s="158"/>
    </row>
    <row r="199" spans="1:9" x14ac:dyDescent="0.2">
      <c r="A199" s="98" t="s">
        <v>69</v>
      </c>
      <c r="B199" s="137">
        <f>'SDA 10'!$B$19+'SDA 10'!$C$19</f>
        <v>0</v>
      </c>
      <c r="D199" s="83"/>
      <c r="E199" s="83"/>
      <c r="F199" s="119"/>
      <c r="G199" s="28"/>
      <c r="H199" s="28"/>
      <c r="I199" s="28"/>
    </row>
    <row r="200" spans="1:9" x14ac:dyDescent="0.2">
      <c r="A200" s="28"/>
      <c r="B200" s="119"/>
      <c r="C200" s="28"/>
      <c r="D200" s="28"/>
      <c r="E200" s="28"/>
      <c r="F200" s="119"/>
      <c r="G200" s="28"/>
      <c r="H200" s="28"/>
      <c r="I200" s="28"/>
    </row>
    <row r="201" spans="1:9" x14ac:dyDescent="0.2">
      <c r="A201" s="98" t="s">
        <v>48</v>
      </c>
      <c r="B201" s="137">
        <f>'SDA 10'!$P$84</f>
        <v>0</v>
      </c>
      <c r="C201" s="28"/>
      <c r="D201" s="28"/>
      <c r="E201" s="28"/>
      <c r="F201" s="119"/>
      <c r="G201" s="28"/>
      <c r="H201" s="28"/>
      <c r="I201" s="28"/>
    </row>
    <row r="202" spans="1:9" x14ac:dyDescent="0.2">
      <c r="A202" s="98" t="s">
        <v>49</v>
      </c>
      <c r="B202" s="137">
        <f>IF(F195-B201&gt;0,F195-B201,0)</f>
        <v>0</v>
      </c>
      <c r="C202" s="28"/>
      <c r="D202" s="28"/>
      <c r="E202" s="28"/>
      <c r="F202" s="119"/>
      <c r="G202" s="28"/>
      <c r="H202" s="28"/>
      <c r="I202" s="28"/>
    </row>
    <row r="203" spans="1:9" x14ac:dyDescent="0.2">
      <c r="A203" s="164" t="s">
        <v>79</v>
      </c>
      <c r="B203" s="137">
        <f>B202*7.48</f>
        <v>0</v>
      </c>
      <c r="C203" s="28"/>
      <c r="D203" s="28"/>
      <c r="E203" s="28"/>
      <c r="F203" s="119"/>
      <c r="G203" s="28"/>
      <c r="H203" s="28"/>
      <c r="I203" s="28"/>
    </row>
    <row r="204" spans="1:9" x14ac:dyDescent="0.2">
      <c r="A204" s="87" t="s">
        <v>64</v>
      </c>
      <c r="B204" s="67" t="str">
        <f>IFERROR('SDA 10'!$P$89,NA())</f>
        <v>N/A</v>
      </c>
      <c r="C204" s="28"/>
      <c r="D204" s="28"/>
      <c r="E204" s="28"/>
      <c r="F204" s="119"/>
      <c r="G204" s="28"/>
      <c r="H204" s="28"/>
      <c r="I204" s="28"/>
    </row>
    <row r="205" spans="1:9" x14ac:dyDescent="0.2">
      <c r="A205" s="87" t="s">
        <v>116</v>
      </c>
      <c r="B205" s="67" t="str">
        <f>IFERROR('SDA 10'!$P$90,NA())</f>
        <v>N/A</v>
      </c>
      <c r="C205" s="28"/>
      <c r="D205" s="28"/>
      <c r="E205" s="28"/>
      <c r="F205" s="119"/>
      <c r="G205" s="28"/>
      <c r="H205" s="28"/>
      <c r="I205" s="28"/>
    </row>
    <row r="206" spans="1:9" x14ac:dyDescent="0.2">
      <c r="A206" s="28"/>
      <c r="B206" s="119"/>
      <c r="C206" s="28"/>
      <c r="D206" s="28"/>
      <c r="E206" s="28"/>
      <c r="F206" s="119"/>
      <c r="G206" s="28"/>
      <c r="H206" s="28"/>
      <c r="I206" s="28"/>
    </row>
    <row r="207" spans="1:9" x14ac:dyDescent="0.2">
      <c r="A207" s="165" t="str">
        <f>$A$18</f>
        <v>Treatment Required?</v>
      </c>
      <c r="B207" s="170" t="str">
        <f>IFERROR('SDA 10'!$P$91,NA())</f>
        <v>No</v>
      </c>
      <c r="C207" s="28"/>
      <c r="D207" s="28"/>
      <c r="E207" s="28"/>
      <c r="F207" s="119"/>
      <c r="G207" s="28"/>
      <c r="H207" s="28"/>
      <c r="I207" s="28"/>
    </row>
    <row r="208" spans="1:9" x14ac:dyDescent="0.2">
      <c r="A208" s="165" t="str">
        <f>$A$19</f>
        <v>Volume Treated (cubic feet)</v>
      </c>
      <c r="B208" s="170">
        <f>'SDA 10'!$T$84</f>
        <v>0</v>
      </c>
      <c r="C208" s="28"/>
      <c r="D208" s="28"/>
      <c r="E208" s="28"/>
      <c r="F208" s="119"/>
      <c r="G208" s="28"/>
      <c r="H208" s="28"/>
      <c r="I208" s="28"/>
    </row>
    <row r="209" spans="1:9" x14ac:dyDescent="0.2">
      <c r="A209" s="165" t="str">
        <f>'SDA 1'!$S$86</f>
        <v>Volume Remaining to Treat 50% of the SWRv (cubic feet)</v>
      </c>
      <c r="B209" s="170">
        <f>'SDA 10'!$T$86</f>
        <v>0</v>
      </c>
      <c r="C209" s="28"/>
      <c r="D209" s="28"/>
      <c r="E209" s="28"/>
      <c r="F209" s="119"/>
      <c r="G209" s="28"/>
      <c r="H209" s="28"/>
      <c r="I209" s="28"/>
    </row>
    <row r="210" spans="1:9" x14ac:dyDescent="0.2">
      <c r="A210" s="165" t="str">
        <f>'SDA 1'!$S$87</f>
        <v>Volume Remaining to Treat 50% of the SWRv (gallons)</v>
      </c>
      <c r="B210" s="170">
        <f>'SDA 10'!$T$87</f>
        <v>0</v>
      </c>
      <c r="C210" s="28"/>
      <c r="D210" s="28"/>
      <c r="E210" s="28"/>
      <c r="F210" s="119"/>
      <c r="G210" s="28"/>
      <c r="H210" s="28"/>
      <c r="I210" s="28"/>
    </row>
    <row r="211" spans="1:9" x14ac:dyDescent="0.2">
      <c r="A211" s="165" t="str">
        <f>'SDA 1'!$S$89</f>
        <v>Volume Remaining to Treat WQTv (cubic feet)</v>
      </c>
      <c r="B211" s="170" t="str">
        <f>'SDA 10'!$T$89</f>
        <v>N/A</v>
      </c>
      <c r="C211" s="28"/>
      <c r="D211" s="28"/>
      <c r="E211" s="28"/>
      <c r="F211" s="119"/>
      <c r="G211" s="28"/>
      <c r="H211" s="28"/>
      <c r="I211" s="28"/>
    </row>
    <row r="212" spans="1:9" x14ac:dyDescent="0.2">
      <c r="A212" s="165" t="str">
        <f>'SDA 1'!$S$90</f>
        <v>Volume Remaining to Treat WQTv (gallons)</v>
      </c>
      <c r="B212" s="170" t="str">
        <f>'SDA 10'!$T$90</f>
        <v>N/A</v>
      </c>
      <c r="C212" s="28"/>
      <c r="D212" s="28"/>
      <c r="E212" s="28"/>
      <c r="F212" s="119"/>
      <c r="G212" s="28"/>
      <c r="H212" s="28"/>
      <c r="I212" s="28"/>
    </row>
    <row r="213" spans="1:9" x14ac:dyDescent="0.2">
      <c r="A213" s="40"/>
      <c r="B213" s="171"/>
      <c r="C213" s="28"/>
      <c r="D213" s="28"/>
      <c r="E213" s="28"/>
      <c r="F213" s="119"/>
      <c r="G213" s="28"/>
      <c r="H213" s="28"/>
      <c r="I213" s="28"/>
    </row>
    <row r="214" spans="1:9" x14ac:dyDescent="0.2">
      <c r="A214" s="40"/>
      <c r="B214" s="171"/>
      <c r="C214" s="28"/>
      <c r="D214" s="28"/>
      <c r="E214" s="28"/>
      <c r="F214" s="119"/>
      <c r="G214" s="28"/>
      <c r="H214" s="28"/>
      <c r="I214" s="28"/>
    </row>
    <row r="215" spans="1:9" ht="15.75" x14ac:dyDescent="0.25">
      <c r="A215" s="159" t="s">
        <v>156</v>
      </c>
      <c r="B215" s="119"/>
      <c r="C215" s="28"/>
      <c r="D215" s="28"/>
      <c r="E215" s="28"/>
      <c r="F215" s="119"/>
      <c r="G215" s="28"/>
      <c r="H215" s="28"/>
      <c r="I215" s="28"/>
    </row>
    <row r="216" spans="1:9" x14ac:dyDescent="0.2">
      <c r="A216" s="98" t="s">
        <v>109</v>
      </c>
      <c r="B216" s="67">
        <f>B12+B33+B54+B75+B96+B117+B138+B159+B180+B201</f>
        <v>0</v>
      </c>
      <c r="C216" s="28"/>
      <c r="D216" s="28"/>
      <c r="E216" s="28"/>
      <c r="F216" s="119"/>
      <c r="G216" s="28"/>
      <c r="H216" s="28"/>
      <c r="I216" s="28"/>
    </row>
    <row r="217" spans="1:9" x14ac:dyDescent="0.2">
      <c r="A217" s="164" t="s">
        <v>89</v>
      </c>
      <c r="B217" s="172" t="str">
        <f>IF(OR('Site Data'!E14="MS4",'Site Data'!E14="CSS w/ GI"),IF(B216&gt;0.5*'Site Data'!E45,"Yes","No"),"N/A")</f>
        <v>N/A</v>
      </c>
      <c r="C217" s="28"/>
      <c r="D217" s="28"/>
      <c r="E217" s="28"/>
      <c r="F217" s="119"/>
      <c r="G217" s="28"/>
      <c r="H217" s="28"/>
      <c r="I217" s="28"/>
    </row>
    <row r="218" spans="1:9" x14ac:dyDescent="0.2">
      <c r="A218" s="164" t="s">
        <v>97</v>
      </c>
      <c r="B218" s="172">
        <f>IF('Site Data'!E45-B216&gt;0,'Site Data'!E45-B216,0)</f>
        <v>0</v>
      </c>
      <c r="C218" s="40"/>
      <c r="D218" s="28"/>
      <c r="E218" s="28"/>
      <c r="F218" s="119"/>
      <c r="G218" s="28"/>
      <c r="H218" s="28"/>
      <c r="I218" s="28"/>
    </row>
    <row r="219" spans="1:9" x14ac:dyDescent="0.2">
      <c r="A219" s="164" t="s">
        <v>98</v>
      </c>
      <c r="B219" s="67">
        <f>B218*7.48</f>
        <v>0</v>
      </c>
      <c r="C219" s="7"/>
      <c r="D219" s="28"/>
      <c r="E219" s="28"/>
      <c r="F219" s="119"/>
      <c r="G219" s="28"/>
      <c r="H219" s="28"/>
      <c r="I219" s="28"/>
    </row>
    <row r="220" spans="1:9" x14ac:dyDescent="0.2">
      <c r="A220" s="164" t="s">
        <v>101</v>
      </c>
      <c r="B220" s="67">
        <f>B19+B40+B61+B82+B103+B124+B145+B166+B187+B208</f>
        <v>0</v>
      </c>
      <c r="C220" s="7"/>
      <c r="D220" s="28"/>
      <c r="E220" s="28"/>
      <c r="F220" s="119"/>
      <c r="G220" s="28"/>
      <c r="H220" s="28"/>
      <c r="I220" s="28"/>
    </row>
    <row r="221" spans="1:9" x14ac:dyDescent="0.2">
      <c r="A221" s="164" t="s">
        <v>99</v>
      </c>
      <c r="B221" s="67">
        <f>IF('Site Data'!E13="Yes",IF('Site Data'!E47-IF(B216&gt;'Site Data'!E45,B216-'Site Data'!E45,0)-B220&lt;0,0,'Site Data'!E47-IF(B216&gt;'Site Data'!E45,B216-'Site Data'!E45,0)-B220),0)</f>
        <v>0</v>
      </c>
      <c r="C221" s="194"/>
      <c r="D221" s="28"/>
      <c r="E221" s="28"/>
      <c r="F221" s="119"/>
      <c r="G221" s="28"/>
      <c r="H221" s="28"/>
      <c r="I221" s="28"/>
    </row>
    <row r="222" spans="1:9" x14ac:dyDescent="0.2">
      <c r="A222" s="164" t="s">
        <v>100</v>
      </c>
      <c r="B222" s="67">
        <f>B221*7.48</f>
        <v>0</v>
      </c>
      <c r="C222" s="194"/>
      <c r="D222" s="112"/>
      <c r="E222" s="28"/>
      <c r="F222" s="119"/>
      <c r="G222" s="28"/>
      <c r="H222" s="28"/>
      <c r="I222" s="28"/>
    </row>
    <row r="223" spans="1:9" s="28" customFormat="1" x14ac:dyDescent="0.2">
      <c r="A223" s="210"/>
      <c r="B223" s="153"/>
      <c r="C223" s="194"/>
      <c r="F223" s="119"/>
    </row>
    <row r="224" spans="1:9" x14ac:dyDescent="0.2">
      <c r="A224" s="186" t="s">
        <v>110</v>
      </c>
      <c r="B224" s="67">
        <f>IF(AND('Site Data'!E13="No",'Site Data'!E46&lt;B216*7.48),B216*7.48-'Site Data'!E46,0)</f>
        <v>0</v>
      </c>
      <c r="C224" s="194"/>
      <c r="D224" s="28"/>
      <c r="E224" s="28"/>
      <c r="F224" s="119"/>
      <c r="G224" s="28"/>
      <c r="H224" s="28"/>
      <c r="I224" s="28"/>
    </row>
    <row r="225" spans="1:9" x14ac:dyDescent="0.2">
      <c r="A225" s="168" t="s">
        <v>107</v>
      </c>
      <c r="B225" s="67">
        <f>B219+B222</f>
        <v>0</v>
      </c>
      <c r="C225" s="206"/>
      <c r="D225" s="207"/>
      <c r="E225" s="207"/>
      <c r="F225" s="207"/>
      <c r="G225" s="207"/>
      <c r="H225" s="207"/>
      <c r="I225" s="28"/>
    </row>
    <row r="226" spans="1:9" x14ac:dyDescent="0.2">
      <c r="A226" s="23" t="s">
        <v>108</v>
      </c>
    </row>
    <row r="228" spans="1:9" ht="15.75" x14ac:dyDescent="0.25">
      <c r="A228" s="6" t="s">
        <v>87</v>
      </c>
    </row>
    <row r="229" spans="1:9" x14ac:dyDescent="0.2">
      <c r="A229" s="98" t="s">
        <v>66</v>
      </c>
      <c r="B229" s="137">
        <f>'Public ROW'!$B$14</f>
        <v>0</v>
      </c>
      <c r="D229" s="143" t="s">
        <v>70</v>
      </c>
      <c r="E229" s="143"/>
      <c r="F229" s="137">
        <f>IFERROR('Public ROW'!$G$20,0)</f>
        <v>0</v>
      </c>
      <c r="G229" s="156"/>
      <c r="H229" s="156"/>
    </row>
    <row r="230" spans="1:9" x14ac:dyDescent="0.2">
      <c r="A230" s="98" t="s">
        <v>67</v>
      </c>
      <c r="B230" s="137">
        <f>'Public ROW'!$B$15</f>
        <v>0</v>
      </c>
      <c r="D230" s="178" t="s">
        <v>88</v>
      </c>
      <c r="E230" s="143"/>
      <c r="F230" s="137" t="str">
        <f>IFERROR('Public ROW'!$G$25,0)</f>
        <v>NA</v>
      </c>
      <c r="G230" s="28"/>
      <c r="H230" s="28"/>
    </row>
    <row r="231" spans="1:9" x14ac:dyDescent="0.2">
      <c r="A231" s="98" t="s">
        <v>68</v>
      </c>
      <c r="B231" s="137">
        <f>'Public ROW'!$B$16</f>
        <v>0</v>
      </c>
      <c r="H231" s="32"/>
    </row>
    <row r="232" spans="1:9" x14ac:dyDescent="0.2">
      <c r="A232" s="98" t="s">
        <v>143</v>
      </c>
      <c r="B232" s="137">
        <f>'Public ROW'!$B$18</f>
        <v>0</v>
      </c>
      <c r="H232" s="32"/>
    </row>
    <row r="233" spans="1:9" x14ac:dyDescent="0.2">
      <c r="A233" s="98" t="s">
        <v>69</v>
      </c>
      <c r="B233" s="137">
        <f>'Public ROW'!$B$19</f>
        <v>0</v>
      </c>
      <c r="D233" s="83"/>
      <c r="E233" s="83"/>
      <c r="F233" s="119"/>
      <c r="G233" s="28"/>
      <c r="H233" s="28"/>
      <c r="I233" s="28"/>
    </row>
    <row r="234" spans="1:9" x14ac:dyDescent="0.2">
      <c r="A234" s="28"/>
      <c r="B234" s="119"/>
      <c r="C234" s="28"/>
      <c r="D234" s="28"/>
      <c r="E234" s="28"/>
      <c r="F234" s="119"/>
      <c r="G234" s="28"/>
      <c r="H234" s="28"/>
      <c r="I234" s="28"/>
    </row>
    <row r="235" spans="1:9" x14ac:dyDescent="0.2">
      <c r="A235" s="98" t="s">
        <v>48</v>
      </c>
      <c r="B235" s="137">
        <f>'Public ROW'!$P$84</f>
        <v>0</v>
      </c>
      <c r="C235" s="28"/>
      <c r="D235" s="28"/>
      <c r="E235" s="28"/>
      <c r="F235" s="119"/>
      <c r="G235" s="28"/>
      <c r="H235" s="28"/>
      <c r="I235" s="28"/>
    </row>
    <row r="236" spans="1:9" x14ac:dyDescent="0.2">
      <c r="A236" s="98" t="s">
        <v>49</v>
      </c>
      <c r="B236" s="137">
        <f>IF(F229-B235&gt;0,F229-B235,0)</f>
        <v>0</v>
      </c>
      <c r="C236" s="28"/>
      <c r="D236" s="28"/>
      <c r="E236" s="28"/>
      <c r="F236" s="119"/>
      <c r="G236" s="28"/>
      <c r="H236" s="28"/>
      <c r="I236" s="28"/>
    </row>
    <row r="237" spans="1:9" x14ac:dyDescent="0.2">
      <c r="A237" s="164" t="s">
        <v>79</v>
      </c>
      <c r="B237" s="137">
        <f>B236*7.48</f>
        <v>0</v>
      </c>
      <c r="C237" s="28"/>
      <c r="D237" s="28"/>
      <c r="E237" s="28"/>
      <c r="F237" s="119"/>
      <c r="G237" s="28"/>
      <c r="H237" s="28"/>
      <c r="I237" s="28"/>
    </row>
    <row r="238" spans="1:9" x14ac:dyDescent="0.2">
      <c r="A238" s="87" t="s">
        <v>64</v>
      </c>
      <c r="B238" s="67" t="str">
        <f>IFERROR('Public ROW'!$P$89,NA())</f>
        <v>N/A</v>
      </c>
      <c r="C238" s="28"/>
      <c r="D238" s="28"/>
      <c r="E238" s="28"/>
      <c r="F238" s="119"/>
      <c r="G238" s="28"/>
      <c r="H238" s="28"/>
      <c r="I238" s="28"/>
    </row>
    <row r="239" spans="1:9" x14ac:dyDescent="0.2">
      <c r="A239" s="87" t="s">
        <v>116</v>
      </c>
      <c r="B239" s="67" t="str">
        <f>IFERROR('Public ROW'!$P$90,NA())</f>
        <v>N/A</v>
      </c>
      <c r="C239" s="28"/>
      <c r="D239" s="28"/>
      <c r="E239" s="28"/>
      <c r="F239" s="119"/>
      <c r="G239" s="28"/>
      <c r="H239" s="28"/>
      <c r="I239" s="28"/>
    </row>
    <row r="240" spans="1:9" x14ac:dyDescent="0.2">
      <c r="A240" s="28"/>
      <c r="B240" s="119"/>
    </row>
    <row r="241" spans="1:2" x14ac:dyDescent="0.2">
      <c r="A241" s="165" t="str">
        <f>$A$18</f>
        <v>Treatment Required?</v>
      </c>
      <c r="B241" s="170" t="str">
        <f>IFERROR('Public ROW'!$P$91,NA())</f>
        <v>No</v>
      </c>
    </row>
    <row r="242" spans="1:2" x14ac:dyDescent="0.2">
      <c r="A242" s="165" t="str">
        <f>$A$19</f>
        <v>Volume Treated (cubic feet)</v>
      </c>
      <c r="B242" s="170">
        <f>'Public ROW'!$T$84</f>
        <v>0</v>
      </c>
    </row>
    <row r="243" spans="1:2" x14ac:dyDescent="0.2">
      <c r="A243" s="165" t="str">
        <f>'SDA 1'!$S$86</f>
        <v>Volume Remaining to Treat 50% of the SWRv (cubic feet)</v>
      </c>
      <c r="B243" s="170">
        <f>'Public ROW'!$T$86</f>
        <v>0</v>
      </c>
    </row>
    <row r="244" spans="1:2" x14ac:dyDescent="0.2">
      <c r="A244" s="165" t="str">
        <f>'SDA 1'!$S$87</f>
        <v>Volume Remaining to Treat 50% of the SWRv (gallons)</v>
      </c>
      <c r="B244" s="170">
        <f>'Public ROW'!$T$87</f>
        <v>0</v>
      </c>
    </row>
    <row r="245" spans="1:2" x14ac:dyDescent="0.2">
      <c r="A245" s="165" t="str">
        <f>'SDA 1'!$S$89</f>
        <v>Volume Remaining to Treat WQTv (cubic feet)</v>
      </c>
      <c r="B245" s="170" t="str">
        <f>'Public ROW'!$T$89</f>
        <v>N/A</v>
      </c>
    </row>
    <row r="246" spans="1:2" x14ac:dyDescent="0.2">
      <c r="A246" s="165" t="str">
        <f>'SDA 1'!$S$90</f>
        <v>Volume Remaining to Treat WQTv (gallons)</v>
      </c>
      <c r="B246" s="170" t="str">
        <f>'Public ROW'!$T$90</f>
        <v>N/A</v>
      </c>
    </row>
  </sheetData>
  <mergeCells count="1">
    <mergeCell ref="A1:H1"/>
  </mergeCells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639"/>
  <sheetViews>
    <sheetView showGridLines="0" workbookViewId="0">
      <selection sqref="A1:F1"/>
    </sheetView>
  </sheetViews>
  <sheetFormatPr defaultColWidth="8.85546875" defaultRowHeight="12.75" x14ac:dyDescent="0.2"/>
  <cols>
    <col min="1" max="1" width="22.85546875" style="2" customWidth="1"/>
    <col min="2" max="2" width="17.85546875" style="2" customWidth="1"/>
    <col min="3" max="3" width="17.85546875" style="88" customWidth="1"/>
    <col min="4" max="4" width="17.85546875" style="200" bestFit="1" customWidth="1"/>
    <col min="5" max="5" width="17.85546875" style="88" customWidth="1"/>
    <col min="6" max="6" width="18" style="200" customWidth="1"/>
    <col min="7" max="7" width="18" style="2" customWidth="1"/>
    <col min="8" max="8" width="8.85546875" style="4"/>
    <col min="9" max="9" width="26.140625" style="2" customWidth="1"/>
    <col min="10" max="10" width="12.85546875" style="2" customWidth="1"/>
    <col min="11" max="11" width="13.42578125" style="2" customWidth="1"/>
    <col min="12" max="12" width="13" style="2" customWidth="1"/>
    <col min="13" max="14" width="8.85546875" style="2" customWidth="1"/>
    <col min="15" max="16384" width="8.85546875" style="2"/>
  </cols>
  <sheetData>
    <row r="1" spans="1:20" ht="18" customHeight="1" x14ac:dyDescent="0.25">
      <c r="A1" s="429" t="s">
        <v>142</v>
      </c>
      <c r="B1" s="429"/>
      <c r="C1" s="429"/>
      <c r="D1" s="429"/>
      <c r="E1" s="429"/>
      <c r="F1" s="429"/>
      <c r="G1" s="295"/>
      <c r="H1" s="295"/>
    </row>
    <row r="2" spans="1:20" ht="18" x14ac:dyDescent="0.25">
      <c r="A2" s="179" t="s">
        <v>90</v>
      </c>
      <c r="B2" s="169"/>
      <c r="C2" s="199"/>
      <c r="D2" s="169"/>
      <c r="E2" s="199"/>
      <c r="F2" s="129"/>
      <c r="G2" s="49"/>
      <c r="H2" s="49"/>
    </row>
    <row r="3" spans="1:20" ht="18.75" thickBot="1" x14ac:dyDescent="0.3">
      <c r="A3" s="179"/>
      <c r="B3" s="169"/>
      <c r="C3" s="199"/>
      <c r="D3" s="169"/>
      <c r="E3" s="199"/>
      <c r="F3" s="129"/>
      <c r="G3" s="49"/>
      <c r="H3" s="49"/>
    </row>
    <row r="4" spans="1:20" x14ac:dyDescent="0.2">
      <c r="A4" s="17"/>
      <c r="B4" s="297" t="s">
        <v>18</v>
      </c>
      <c r="C4" s="298" t="s">
        <v>21</v>
      </c>
      <c r="D4" s="299" t="s">
        <v>53</v>
      </c>
      <c r="G4" s="88"/>
      <c r="H4" s="3"/>
      <c r="J4" s="3"/>
      <c r="K4" s="3"/>
      <c r="L4" s="3"/>
      <c r="M4" s="3"/>
      <c r="N4" s="3"/>
      <c r="O4" s="3"/>
      <c r="Q4" s="4"/>
    </row>
    <row r="5" spans="1:20" ht="13.5" thickBot="1" x14ac:dyDescent="0.25">
      <c r="A5" s="300" t="s">
        <v>6</v>
      </c>
      <c r="B5" s="138">
        <v>3.14</v>
      </c>
      <c r="C5" s="139">
        <v>5.23</v>
      </c>
      <c r="D5" s="140">
        <v>8.34</v>
      </c>
      <c r="G5" s="88"/>
      <c r="H5" s="3"/>
      <c r="J5" s="90"/>
      <c r="K5" s="65"/>
      <c r="L5" s="65"/>
      <c r="M5" s="93"/>
      <c r="N5" s="65"/>
      <c r="O5" s="65"/>
      <c r="P5" s="65"/>
      <c r="Q5" s="65"/>
      <c r="R5" s="65"/>
      <c r="S5" s="65"/>
      <c r="T5" s="28"/>
    </row>
    <row r="6" spans="1:20" x14ac:dyDescent="0.2">
      <c r="A6" s="37"/>
      <c r="B6" s="37"/>
      <c r="C6" s="204"/>
      <c r="D6" s="88"/>
      <c r="F6" s="88"/>
      <c r="G6" s="88"/>
      <c r="H6" s="3"/>
      <c r="J6" s="94"/>
      <c r="K6" s="65"/>
      <c r="L6" s="65"/>
      <c r="M6" s="93"/>
      <c r="N6" s="95"/>
      <c r="O6" s="95"/>
      <c r="P6" s="95"/>
      <c r="Q6" s="95"/>
      <c r="R6" s="95"/>
      <c r="S6" s="95"/>
      <c r="T6" s="28"/>
    </row>
    <row r="7" spans="1:20" x14ac:dyDescent="0.2">
      <c r="A7" s="37"/>
      <c r="B7" s="37"/>
      <c r="C7" s="204"/>
      <c r="D7" s="88"/>
      <c r="F7" s="88"/>
      <c r="G7" s="88"/>
      <c r="H7" s="3"/>
      <c r="J7" s="94"/>
      <c r="K7" s="65"/>
      <c r="L7" s="65"/>
      <c r="M7" s="93"/>
      <c r="N7" s="95"/>
      <c r="O7" s="95"/>
      <c r="P7" s="95"/>
      <c r="Q7" s="95"/>
      <c r="R7" s="95"/>
      <c r="S7" s="95"/>
      <c r="T7" s="28"/>
    </row>
    <row r="8" spans="1:20" ht="38.25" x14ac:dyDescent="0.2">
      <c r="A8" s="37"/>
      <c r="B8" s="262" t="s">
        <v>207</v>
      </c>
      <c r="C8" s="262" t="s">
        <v>72</v>
      </c>
      <c r="D8" s="262" t="s">
        <v>82</v>
      </c>
      <c r="F8" s="88"/>
      <c r="G8" s="88"/>
      <c r="H8" s="3"/>
      <c r="J8" s="94"/>
      <c r="K8" s="65"/>
      <c r="L8" s="65"/>
      <c r="M8" s="93"/>
      <c r="N8" s="95"/>
      <c r="O8" s="95"/>
      <c r="P8" s="95"/>
      <c r="Q8" s="95"/>
      <c r="R8" s="95"/>
      <c r="S8" s="95"/>
      <c r="T8" s="28"/>
    </row>
    <row r="9" spans="1:20" x14ac:dyDescent="0.2">
      <c r="A9" s="203" t="s">
        <v>208</v>
      </c>
      <c r="B9" s="170">
        <f>Compliance!$B$10</f>
        <v>0</v>
      </c>
      <c r="C9" s="170">
        <f>'SDA 1'!$O$31+'SDA 1'!$O$33*0.5+'SDA 1'!$O$35+'SDA 1'!$O$45+'SDA 1'!$O$47+'SDA 1'!$O$49+'SDA 1'!$O$51+'SDA 1'!$O$53+'SDA 1'!$O$55+'SDA 1'!$O$57+'SDA 1'!$O$59+'SDA 1'!$O$61+'SDA 1'!$O$63+'SDA 1'!$O$65+'SDA 1'!$O$67+'SDA 1'!$O$69+'SDA 1'!$O$71</f>
        <v>0</v>
      </c>
      <c r="D9" s="170">
        <f t="shared" ref="D9:D19" si="0">C9*7.48</f>
        <v>0</v>
      </c>
      <c r="F9" s="88"/>
      <c r="H9" s="3"/>
      <c r="J9" s="94"/>
      <c r="K9" s="65"/>
      <c r="L9" s="65"/>
      <c r="M9" s="91"/>
      <c r="N9" s="92"/>
      <c r="O9" s="92"/>
      <c r="P9" s="92"/>
      <c r="Q9" s="92"/>
      <c r="R9" s="92"/>
      <c r="S9" s="92"/>
      <c r="T9" s="28"/>
    </row>
    <row r="10" spans="1:20" x14ac:dyDescent="0.2">
      <c r="A10" s="203" t="s">
        <v>209</v>
      </c>
      <c r="B10" s="170">
        <f>Compliance!$B$31</f>
        <v>0</v>
      </c>
      <c r="C10" s="170">
        <f>'SDA 2'!$O$31+'SDA 2'!$O$33*0.5+'SDA 2'!$O$35+'SDA 2'!$O$45+'SDA 2'!$O$47+'SDA 2'!$O$49+'SDA 2'!$O$51+'SDA 2'!$O$53+'SDA 2'!$O$55+'SDA 2'!$O$57+'SDA 2'!$O$59+'SDA 2'!$O$61+'SDA 2'!$O$63+'SDA 2'!$O$65+'SDA 2'!$O$67+'SDA 2'!$O$69+'SDA 2'!$O$71</f>
        <v>0</v>
      </c>
      <c r="D10" s="170">
        <f t="shared" si="0"/>
        <v>0</v>
      </c>
    </row>
    <row r="11" spans="1:20" x14ac:dyDescent="0.2">
      <c r="A11" s="203" t="s">
        <v>159</v>
      </c>
      <c r="B11" s="170">
        <f>Compliance!$B$52</f>
        <v>0</v>
      </c>
      <c r="C11" s="170">
        <f>'SDA 3'!$O$31+'SDA 3'!$O$33*0.5+'SDA 3'!$O$35+'SDA 3'!$O$45+'SDA 3'!$O$47+'SDA 3'!$O$49+'SDA 3'!$O$51+'SDA 3'!$O$53+'SDA 3'!$O$55+'SDA 3'!$O$57+'SDA 3'!$O$59+'SDA 3'!$O$61+'SDA 3'!$O$63+'SDA 3'!$O$65+'SDA 3'!$O$67+'SDA 3'!$O$69+'SDA 3'!$O$71</f>
        <v>0</v>
      </c>
      <c r="D11" s="170">
        <f t="shared" si="0"/>
        <v>0</v>
      </c>
    </row>
    <row r="12" spans="1:20" x14ac:dyDescent="0.2">
      <c r="A12" s="203" t="s">
        <v>160</v>
      </c>
      <c r="B12" s="170">
        <f>Compliance!$B$73</f>
        <v>0</v>
      </c>
      <c r="C12" s="170">
        <f>'SDA 4'!$O$31+'SDA 4'!$O$33*0.5+'SDA 4'!$O$35+'SDA 4'!$O$45+'SDA 4'!$O$47+'SDA 4'!$O$49+'SDA 4'!$O$51+'SDA 4'!$O$53+'SDA 4'!$O$55+'SDA 4'!$O$57+'SDA 4'!$O$59+'SDA 4'!$O$61+'SDA 4'!$O$63+'SDA 4'!$O$65+'SDA 4'!$O$67+'SDA 4'!$O$69+'SDA 4'!$O$71</f>
        <v>0</v>
      </c>
      <c r="D12" s="170">
        <f t="shared" si="0"/>
        <v>0</v>
      </c>
    </row>
    <row r="13" spans="1:20" x14ac:dyDescent="0.2">
      <c r="A13" s="203" t="s">
        <v>161</v>
      </c>
      <c r="B13" s="170">
        <f>Compliance!$B$94</f>
        <v>0</v>
      </c>
      <c r="C13" s="170">
        <f>'SDA 5'!$O$31+'SDA 5'!$O$33*0.5+'SDA 5'!$O$35+'SDA 5'!$O$45+'SDA 5'!$O$47+'SDA 5'!$O$49+'SDA 5'!$O$51+'SDA 5'!$O$53+'SDA 5'!$O$55+'SDA 5'!$O$57+'SDA 5'!$O$59+'SDA 5'!$O$61+'SDA 5'!$O$63+'SDA 5'!$O$65+'SDA 5'!$O$67+'SDA 5'!$O$69+'SDA 5'!$O$71</f>
        <v>0</v>
      </c>
      <c r="D13" s="170">
        <f t="shared" si="0"/>
        <v>0</v>
      </c>
    </row>
    <row r="14" spans="1:20" x14ac:dyDescent="0.2">
      <c r="A14" s="203" t="s">
        <v>162</v>
      </c>
      <c r="B14" s="170">
        <f>Compliance!$B$115</f>
        <v>0</v>
      </c>
      <c r="C14" s="170">
        <f>'SDA 6'!$O$31+'SDA 6'!$O$33*0.5+'SDA 6'!$O$35+'SDA 6'!$O$45+'SDA 6'!$O$47+'SDA 6'!$O$49+'SDA 6'!$O$51+'SDA 6'!$O$53+'SDA 6'!$O$55+'SDA 6'!$O$57+'SDA 6'!$O$59+'SDA 6'!$O$61+'SDA 6'!$O$63+'SDA 6'!$O$65+'SDA 6'!$O$67+'SDA 6'!$O$69+'SDA 6'!$O$71</f>
        <v>0</v>
      </c>
      <c r="D14" s="170">
        <f t="shared" si="0"/>
        <v>0</v>
      </c>
    </row>
    <row r="15" spans="1:20" x14ac:dyDescent="0.2">
      <c r="A15" s="203" t="s">
        <v>163</v>
      </c>
      <c r="B15" s="170">
        <f>Compliance!$B$136</f>
        <v>0</v>
      </c>
      <c r="C15" s="170">
        <f>'SDA 7'!$O$31+'SDA 7'!$O$33*0.5+'SDA 7'!$O$35+'SDA 7'!$O$45+'SDA 7'!$O$47+'SDA 7'!$O$49+'SDA 7'!$O$51+'SDA 7'!$O$53+'SDA 7'!$O$55+'SDA 7'!$O$57+'SDA 7'!$O$59+'SDA 7'!$O$61+'SDA 7'!$O$63+'SDA 7'!$O$65+'SDA 7'!$O$67+'SDA 7'!$O$69+'SDA 7'!$O$71</f>
        <v>0</v>
      </c>
      <c r="D15" s="170">
        <f t="shared" si="0"/>
        <v>0</v>
      </c>
    </row>
    <row r="16" spans="1:20" x14ac:dyDescent="0.2">
      <c r="A16" s="203" t="s">
        <v>210</v>
      </c>
      <c r="B16" s="170">
        <f>Compliance!$B$157</f>
        <v>0</v>
      </c>
      <c r="C16" s="170">
        <f>'SDA 8'!$O$31+'SDA 8'!$O$33*0.5+'SDA 8'!$O$35+'SDA 8'!$O$45+'SDA 8'!$O$47+'SDA 8'!$O$49+'SDA 8'!$O$51+'SDA 8'!$O$53+'SDA 8'!$O$55+'SDA 8'!$O$57+'SDA 8'!$O$59+'SDA 8'!$O$61+'SDA 8'!$O$63+'SDA 8'!$O$65+'SDA 8'!$O$67+'SDA 8'!$O$69+'SDA 8'!$O$71</f>
        <v>0</v>
      </c>
      <c r="D16" s="170">
        <f t="shared" si="0"/>
        <v>0</v>
      </c>
    </row>
    <row r="17" spans="1:14" x14ac:dyDescent="0.2">
      <c r="A17" s="203" t="s">
        <v>165</v>
      </c>
      <c r="B17" s="170">
        <f>Compliance!$B$178</f>
        <v>0</v>
      </c>
      <c r="C17" s="170">
        <f>'SDA 9'!$O$31+'SDA 9'!$O$33*0.5+'SDA 9'!$O$35+'SDA 9'!$O$45+'SDA 9'!$O$47+'SDA 9'!$O$49+'SDA 9'!$O$51+'SDA 9'!$O$53+'SDA 9'!$O$55+'SDA 9'!$O$57+'SDA 9'!$O$59+'SDA 9'!$O$61+'SDA 9'!$O$63+'SDA 9'!$O$65+'SDA 9'!$O$67+'SDA 9'!$O$69+'SDA 9'!$O$71</f>
        <v>0</v>
      </c>
      <c r="D17" s="170">
        <f t="shared" si="0"/>
        <v>0</v>
      </c>
    </row>
    <row r="18" spans="1:14" x14ac:dyDescent="0.2">
      <c r="A18" s="203" t="s">
        <v>166</v>
      </c>
      <c r="B18" s="170">
        <f>Compliance!$B$199</f>
        <v>0</v>
      </c>
      <c r="C18" s="170">
        <f>'SDA 10'!$O$31+'SDA 10'!$O$33*0.5+'SDA 10'!$O$35+'SDA 10'!$O$45+'SDA 10'!$O$47+'SDA 10'!$O$49+'SDA 10'!$O$51+'SDA 10'!$O$53+'SDA 10'!$O$55+'SDA 10'!$O$57+'SDA 10'!$O$59+'SDA 10'!$O$61+'SDA 10'!$O$63+'SDA 10'!$O$65+'SDA 10'!$O$67+'SDA 10'!$O$69+'SDA 10'!$O$71</f>
        <v>0</v>
      </c>
      <c r="D18" s="170">
        <f t="shared" si="0"/>
        <v>0</v>
      </c>
    </row>
    <row r="19" spans="1:14" x14ac:dyDescent="0.2">
      <c r="A19" s="203" t="s">
        <v>252</v>
      </c>
      <c r="B19" s="170">
        <f>SUM(B9:B18)</f>
        <v>0</v>
      </c>
      <c r="C19" s="170">
        <f>SUM(C9:C18)</f>
        <v>0</v>
      </c>
      <c r="D19" s="170">
        <f t="shared" si="0"/>
        <v>0</v>
      </c>
    </row>
    <row r="20" spans="1:14" x14ac:dyDescent="0.2">
      <c r="A20" s="17"/>
      <c r="B20" s="17"/>
      <c r="C20" s="205"/>
      <c r="J20" s="418" t="s">
        <v>137</v>
      </c>
      <c r="K20" s="419"/>
      <c r="L20" s="419"/>
      <c r="M20" s="419"/>
      <c r="N20" s="420"/>
    </row>
    <row r="21" spans="1:14" ht="26.45" customHeight="1" x14ac:dyDescent="0.2">
      <c r="A21" s="422" t="s">
        <v>251</v>
      </c>
      <c r="B21" s="422"/>
      <c r="C21" s="422"/>
      <c r="D21" s="422"/>
      <c r="E21" s="422"/>
      <c r="F21" s="422"/>
      <c r="J21" s="2" t="str">
        <f>B4</f>
        <v>2-year storm</v>
      </c>
      <c r="K21" s="2" t="str">
        <f>C4</f>
        <v>15-year storm</v>
      </c>
      <c r="L21" s="2" t="str">
        <f>D4</f>
        <v>100-year storm</v>
      </c>
    </row>
    <row r="22" spans="1:14" x14ac:dyDescent="0.2">
      <c r="A22" s="38"/>
      <c r="B22" s="28"/>
      <c r="J22" s="88" t="s">
        <v>103</v>
      </c>
      <c r="K22" s="88" t="s">
        <v>103</v>
      </c>
      <c r="L22" s="88" t="s">
        <v>103</v>
      </c>
      <c r="M22" s="2" t="s">
        <v>8</v>
      </c>
      <c r="N22" s="2" t="s">
        <v>9</v>
      </c>
    </row>
    <row r="23" spans="1:14" x14ac:dyDescent="0.2">
      <c r="A23" s="421" t="s">
        <v>252</v>
      </c>
      <c r="B23" s="421"/>
      <c r="C23" s="421"/>
      <c r="D23" s="421"/>
      <c r="E23" s="421"/>
      <c r="F23" s="421"/>
    </row>
    <row r="24" spans="1:14" ht="13.5" thickBot="1" x14ac:dyDescent="0.25">
      <c r="A24" s="416" t="s">
        <v>211</v>
      </c>
      <c r="B24" s="417"/>
      <c r="C24" s="289"/>
      <c r="D24" s="289" t="s">
        <v>27</v>
      </c>
      <c r="E24" s="51"/>
      <c r="F24" s="51"/>
      <c r="G24" s="15"/>
      <c r="H24" s="2"/>
    </row>
    <row r="25" spans="1:14" x14ac:dyDescent="0.2">
      <c r="A25" s="415" t="s">
        <v>24</v>
      </c>
      <c r="B25" s="407"/>
      <c r="C25" s="85" t="s">
        <v>61</v>
      </c>
      <c r="D25" s="266">
        <f>'SDA 1'!$B$6+'SDA 2'!$B$6+'SDA 3'!$B$6+'SDA 4'!$B$6+'SDA 5'!$B$6+'SDA 6'!$B$6+'SDA 7'!$B$6+'SDA 8'!$B$6+'SDA 9'!$B$6+'SDA 10'!$B$6</f>
        <v>0</v>
      </c>
      <c r="E25" s="16"/>
      <c r="F25" s="16"/>
      <c r="G25" s="16"/>
      <c r="H25" s="2"/>
      <c r="J25" s="58">
        <f t="shared" ref="J25:J88" si="1">IF(B$5&gt;0.2*($N25),(B$5-0.2*($N25))^2/(B$5+0.8*($N25)),0)</f>
        <v>1.2945838837516534E-3</v>
      </c>
      <c r="K25" s="58">
        <f t="shared" ref="K25:K88" si="2">IF(C$5&gt;0.2*($N25),(C$5-0.2*($N25))^2/(C$5+0.8*($N25)),0)</f>
        <v>0.28861868833430077</v>
      </c>
      <c r="L25" s="58">
        <f t="shared" ref="L25:L88" si="3">IF(D$5&gt;0.2*($N25),(D$5-0.2*($N25))^2/(D$5+0.8*($N25)),0)</f>
        <v>1.4019469026548672</v>
      </c>
      <c r="M25" s="2">
        <v>40</v>
      </c>
      <c r="N25" s="58">
        <f t="shared" ref="N25:N104" si="4">IF(M25&gt;0,1000/M25-10,1000)</f>
        <v>15</v>
      </c>
    </row>
    <row r="26" spans="1:14" ht="13.5" thickBot="1" x14ac:dyDescent="0.25">
      <c r="A26" s="408"/>
      <c r="B26" s="409"/>
      <c r="C26" s="86" t="s">
        <v>8</v>
      </c>
      <c r="D26" s="184">
        <v>70</v>
      </c>
      <c r="E26" s="115"/>
      <c r="F26" s="115"/>
      <c r="G26" s="115"/>
      <c r="H26" s="2"/>
      <c r="J26" s="58">
        <f t="shared" si="1"/>
        <v>1.5405269320575819E-3</v>
      </c>
      <c r="K26" s="58">
        <f t="shared" si="2"/>
        <v>0.29270255807102569</v>
      </c>
      <c r="L26" s="58">
        <f t="shared" si="3"/>
        <v>1.4119638491188484</v>
      </c>
      <c r="M26" s="2">
        <f t="shared" ref="M26:M32" si="5">M25+0.1</f>
        <v>40.1</v>
      </c>
      <c r="N26" s="58">
        <f t="shared" si="4"/>
        <v>14.937655860349125</v>
      </c>
    </row>
    <row r="27" spans="1:14" x14ac:dyDescent="0.2">
      <c r="A27" s="415" t="s">
        <v>30</v>
      </c>
      <c r="B27" s="407"/>
      <c r="C27" s="85" t="s">
        <v>61</v>
      </c>
      <c r="D27" s="266">
        <f>'SDA 1'!$B$7+'SDA 2'!$B$7+'SDA 3'!$B$7+'SDA 4'!$B$7+'SDA 5'!$B$7+'SDA 6'!$B$7+'SDA 7'!$B$7+'SDA 8'!$B$7+'SDA 9'!$B$7+'SDA 10'!$B$7</f>
        <v>0</v>
      </c>
      <c r="E27" s="16"/>
      <c r="F27" s="16"/>
      <c r="G27" s="16"/>
      <c r="H27" s="2"/>
      <c r="J27" s="58">
        <f t="shared" si="1"/>
        <v>1.8073850729548662E-3</v>
      </c>
      <c r="K27" s="58">
        <f t="shared" si="2"/>
        <v>0.2968077294021757</v>
      </c>
      <c r="L27" s="58">
        <f t="shared" si="3"/>
        <v>1.4219952064255823</v>
      </c>
      <c r="M27" s="2">
        <f t="shared" si="5"/>
        <v>40.200000000000003</v>
      </c>
      <c r="N27" s="58">
        <f t="shared" si="4"/>
        <v>14.875621890547261</v>
      </c>
    </row>
    <row r="28" spans="1:14" ht="13.5" thickBot="1" x14ac:dyDescent="0.25">
      <c r="A28" s="408"/>
      <c r="B28" s="409"/>
      <c r="C28" s="86" t="s">
        <v>8</v>
      </c>
      <c r="D28" s="184">
        <v>74</v>
      </c>
      <c r="E28" s="115"/>
      <c r="F28" s="115"/>
      <c r="G28" s="115"/>
      <c r="H28" s="2"/>
      <c r="J28" s="58">
        <f t="shared" si="1"/>
        <v>2.0950559065727762E-3</v>
      </c>
      <c r="K28" s="58">
        <f t="shared" si="2"/>
        <v>0.3009340938733569</v>
      </c>
      <c r="L28" s="58">
        <f t="shared" si="3"/>
        <v>1.4320408592648277</v>
      </c>
      <c r="M28" s="2">
        <f t="shared" si="5"/>
        <v>40.300000000000004</v>
      </c>
      <c r="N28" s="58">
        <f t="shared" si="4"/>
        <v>14.813895781637715</v>
      </c>
    </row>
    <row r="29" spans="1:14" x14ac:dyDescent="0.2">
      <c r="A29" s="406" t="s">
        <v>144</v>
      </c>
      <c r="B29" s="407"/>
      <c r="C29" s="85" t="s">
        <v>61</v>
      </c>
      <c r="D29" s="266">
        <f>'SDA 1'!$B$8+'SDA 1'!$B$9+'SDA 2'!$B$8+'SDA 2'!$B$9+'SDA 3'!$B$8+'SDA 3'!$B$9+'SDA 4'!$B$8+'SDA 4'!$B$9+'SDA 5'!$B$8+'SDA 5'!$B$9+'SDA 6'!$B$8+'SDA 6'!$B$9+'SDA 7'!$B$8+'SDA 7'!$B$9+'SDA 8'!$B$8+'SDA 8'!$B$9+'SDA 9'!$B$8+'SDA 9'!$B$9+'SDA 10'!$B$8+'SDA 10'!$B$9</f>
        <v>0</v>
      </c>
      <c r="E29" s="202" t="s">
        <v>7</v>
      </c>
      <c r="F29" s="203" t="s">
        <v>9</v>
      </c>
      <c r="G29" s="16"/>
      <c r="H29" s="2"/>
      <c r="J29" s="58">
        <f t="shared" si="1"/>
        <v>2.4034382181078438E-3</v>
      </c>
      <c r="K29" s="58">
        <f t="shared" si="2"/>
        <v>0.30508154418448441</v>
      </c>
      <c r="L29" s="58">
        <f t="shared" si="3"/>
        <v>1.442100693469369</v>
      </c>
      <c r="M29" s="2">
        <f t="shared" si="5"/>
        <v>40.400000000000006</v>
      </c>
      <c r="N29" s="58">
        <f t="shared" si="4"/>
        <v>14.75247524752475</v>
      </c>
    </row>
    <row r="30" spans="1:14" ht="13.5" thickBot="1" x14ac:dyDescent="0.25">
      <c r="A30" s="408"/>
      <c r="B30" s="409"/>
      <c r="C30" s="86" t="s">
        <v>8</v>
      </c>
      <c r="D30" s="185">
        <v>98</v>
      </c>
      <c r="E30" s="183">
        <f>IF($B$9&gt;0,(D25*D26+D27*D28+D29*D30)/$B$19,0)</f>
        <v>0</v>
      </c>
      <c r="F30" s="197">
        <f>IF(E30&gt;0,1000/E30-10,1000)</f>
        <v>1000</v>
      </c>
      <c r="G30" s="116"/>
      <c r="H30" s="2"/>
      <c r="J30" s="58">
        <f t="shared" si="1"/>
        <v>2.7324319638813849E-3</v>
      </c>
      <c r="K30" s="58">
        <f t="shared" si="2"/>
        <v>0.30924997417569339</v>
      </c>
      <c r="L30" s="58">
        <f t="shared" si="3"/>
        <v>1.4521745960009032</v>
      </c>
      <c r="M30" s="2">
        <f t="shared" si="5"/>
        <v>40.500000000000007</v>
      </c>
      <c r="N30" s="58">
        <f t="shared" si="4"/>
        <v>14.691358024691354</v>
      </c>
    </row>
    <row r="31" spans="1:14" x14ac:dyDescent="0.2">
      <c r="A31" s="38"/>
      <c r="B31" s="28"/>
      <c r="H31" s="2"/>
      <c r="J31" s="58">
        <f t="shared" si="1"/>
        <v>3.0819382576064819E-3</v>
      </c>
      <c r="K31" s="58">
        <f t="shared" si="2"/>
        <v>0.31343927881345834</v>
      </c>
      <c r="L31" s="58">
        <f t="shared" si="3"/>
        <v>1.4622624549361367</v>
      </c>
      <c r="M31" s="2">
        <f t="shared" si="5"/>
        <v>40.600000000000009</v>
      </c>
      <c r="N31" s="58">
        <f t="shared" si="4"/>
        <v>14.630541871921178</v>
      </c>
    </row>
    <row r="32" spans="1:14" ht="13.5" thickBot="1" x14ac:dyDescent="0.25">
      <c r="A32" s="413" t="s">
        <v>212</v>
      </c>
      <c r="B32" s="414"/>
      <c r="C32" s="290"/>
      <c r="D32" s="292" t="s">
        <v>27</v>
      </c>
      <c r="E32" s="51"/>
      <c r="F32" s="51"/>
      <c r="G32" s="16"/>
      <c r="H32" s="24"/>
      <c r="J32" s="58">
        <f t="shared" si="1"/>
        <v>3.4518593568607404E-3</v>
      </c>
      <c r="K32" s="58">
        <f t="shared" si="2"/>
        <v>0.31764935417691842</v>
      </c>
      <c r="L32" s="58">
        <f t="shared" si="3"/>
        <v>1.4723641594530894</v>
      </c>
      <c r="M32" s="2">
        <f t="shared" si="5"/>
        <v>40.70000000000001</v>
      </c>
      <c r="N32" s="58">
        <f t="shared" si="4"/>
        <v>14.570024570024565</v>
      </c>
    </row>
    <row r="33" spans="1:14" x14ac:dyDescent="0.2">
      <c r="A33" s="415" t="s">
        <v>24</v>
      </c>
      <c r="B33" s="407"/>
      <c r="C33" s="85" t="s">
        <v>61</v>
      </c>
      <c r="D33" s="265">
        <f>'SDA 1'!$B$14+'SDA 1'!$C$14+'SDA 2'!$B$14+'SDA 2'!$C$14+'SDA 3'!$B$14+'SDA 3'!$C$14+'SDA 4'!$B$14+'SDA 4'!$C$14+'SDA 5'!$B$14+'SDA 5'!$C$14+'SDA 6'!$B$14+'SDA 6'!$C$14+'SDA 7'!$B$14+'SDA 7'!$C$14+'SDA 8'!$B$14+'SDA 8'!$C$14+'SDA 9'!$B$14+'SDA 9'!$C$14+'SDA 10'!$B$14+'SDA 10'!$C$14</f>
        <v>0</v>
      </c>
      <c r="E33" s="16"/>
      <c r="F33" s="16"/>
      <c r="J33" s="58">
        <f t="shared" si="1"/>
        <v>3.8420986497612148E-3</v>
      </c>
      <c r="K33" s="58">
        <f t="shared" si="2"/>
        <v>0.32188009744440249</v>
      </c>
      <c r="L33" s="58">
        <f t="shared" si="3"/>
        <v>1.4824795998175953</v>
      </c>
      <c r="M33" s="2">
        <f t="shared" ref="M33:M112" si="6">M32+0.1</f>
        <v>40.800000000000011</v>
      </c>
      <c r="N33" s="58">
        <f t="shared" si="4"/>
        <v>14.509803921568622</v>
      </c>
    </row>
    <row r="34" spans="1:14" ht="13.5" thickBot="1" x14ac:dyDescent="0.25">
      <c r="A34" s="408"/>
      <c r="B34" s="409"/>
      <c r="C34" s="86" t="s">
        <v>8</v>
      </c>
      <c r="D34" s="184">
        <v>70</v>
      </c>
      <c r="E34" s="115"/>
      <c r="F34" s="115"/>
      <c r="J34" s="58">
        <f t="shared" si="1"/>
        <v>4.2525606418383618E-3</v>
      </c>
      <c r="K34" s="58">
        <f t="shared" si="2"/>
        <v>0.32613140688015457</v>
      </c>
      <c r="L34" s="58">
        <f t="shared" si="3"/>
        <v>1.4926086673700043</v>
      </c>
      <c r="M34" s="2">
        <f t="shared" si="6"/>
        <v>40.900000000000013</v>
      </c>
      <c r="N34" s="58">
        <f t="shared" si="4"/>
        <v>14.44987775061124</v>
      </c>
    </row>
    <row r="35" spans="1:14" x14ac:dyDescent="0.2">
      <c r="A35" s="415" t="s">
        <v>30</v>
      </c>
      <c r="B35" s="407"/>
      <c r="C35" s="85" t="s">
        <v>61</v>
      </c>
      <c r="D35" s="266">
        <f>'SDA 1'!$B$15+'SDA 1'!$C$15+'SDA 2'!$B$15+'SDA 2'!$C$15+'SDA 3'!$B$15+'SDA 3'!$C$15+'SDA 4'!$B$15+'SDA 4'!$C$15+'SDA 5'!$B$15+'SDA 5'!$C$15+'SDA 6'!$B$15+'SDA 6'!$C$15+'SDA 7'!$B$15+'SDA 7'!$C$15+'SDA 8'!$B$15+'SDA 8'!$C$15+'SDA 9'!$B$15+'SDA 9'!$C$15+'SDA 10'!$B$15+'SDA 10'!$C$15</f>
        <v>0</v>
      </c>
      <c r="E35" s="16"/>
      <c r="F35" s="16"/>
      <c r="J35" s="58">
        <f t="shared" si="1"/>
        <v>4.6831509431051709E-3</v>
      </c>
      <c r="K35" s="58">
        <f t="shared" si="2"/>
        <v>0.330403181821251</v>
      </c>
      <c r="L35" s="58">
        <f t="shared" si="3"/>
        <v>1.5027512545120789</v>
      </c>
      <c r="M35" s="2">
        <f t="shared" si="6"/>
        <v>41.000000000000014</v>
      </c>
      <c r="N35" s="58">
        <f t="shared" si="4"/>
        <v>14.390243902439018</v>
      </c>
    </row>
    <row r="36" spans="1:14" ht="13.5" thickBot="1" x14ac:dyDescent="0.25">
      <c r="A36" s="408"/>
      <c r="B36" s="409"/>
      <c r="C36" s="86" t="s">
        <v>8</v>
      </c>
      <c r="D36" s="184">
        <v>74</v>
      </c>
      <c r="E36" s="115"/>
      <c r="F36" s="115"/>
      <c r="G36" s="15"/>
      <c r="H36" s="23"/>
      <c r="J36" s="58">
        <f t="shared" si="1"/>
        <v>5.1337762553188239E-3</v>
      </c>
      <c r="K36" s="58">
        <f t="shared" si="2"/>
        <v>0.33469532266471275</v>
      </c>
      <c r="L36" s="58">
        <f t="shared" si="3"/>
        <v>1.5129072546940829</v>
      </c>
      <c r="M36" s="2">
        <f t="shared" si="6"/>
        <v>41.100000000000016</v>
      </c>
      <c r="N36" s="58">
        <f t="shared" si="4"/>
        <v>14.330900243308992</v>
      </c>
    </row>
    <row r="37" spans="1:14" x14ac:dyDescent="0.2">
      <c r="A37" s="406" t="s">
        <v>144</v>
      </c>
      <c r="B37" s="407"/>
      <c r="C37" s="85" t="s">
        <v>61</v>
      </c>
      <c r="D37" s="266">
        <f>'SDA 1'!$B$16+'SDA 1'!$B$18+'SDA 1'!$C$16+'SDA 1'!$C$18+'SDA 2'!$B$16+'SDA 2'!$B$18+'SDA 2'!$C$16+'SDA 2'!$C$18+'SDA 3'!$B$16+'SDA 3'!$B$18+'SDA 3'!$C$16+'SDA 3'!$C$18+'SDA 4'!$B$16+'SDA 4'!$B$18+'SDA 4'!$C$16+'SDA 4'!$C$18+'SDA 5'!$B$16+'SDA 5'!$B$18+'SDA 5'!$C$16+'SDA 5'!$C$18+'SDA 6'!$B$16+'SDA 6'!$B$18+'SDA 6'!$C$16+'SDA 6'!$C$18+'SDA 7'!$B$16+'SDA 7'!$B$18+'SDA 7'!$C$16+'SDA 7'!$C$18+'SDA 8'!$B$16+'SDA 8'!$B$18+'SDA 8'!$C$16+'SDA 8'!$C$18+'SDA 9'!$B$16+'SDA 9'!$B$18+'SDA 9'!$C$16+'SDA 9'!$C$18+'SDA 10'!$B$16+'SDA 10'!$B$18+'SDA 10'!$C$16+'SDA 10'!$C$18</f>
        <v>0</v>
      </c>
      <c r="E37" s="202" t="s">
        <v>7</v>
      </c>
      <c r="F37" s="203" t="s">
        <v>9</v>
      </c>
      <c r="G37" s="84"/>
      <c r="H37" s="84"/>
      <c r="J37" s="58">
        <f t="shared" si="1"/>
        <v>5.6043443594307046E-3</v>
      </c>
      <c r="K37" s="58">
        <f t="shared" si="2"/>
        <v>0.33900773085480096</v>
      </c>
      <c r="L37" s="58">
        <f t="shared" si="3"/>
        <v>1.5230765624020504</v>
      </c>
      <c r="M37" s="2">
        <f t="shared" si="6"/>
        <v>41.200000000000017</v>
      </c>
      <c r="N37" s="58">
        <f t="shared" si="4"/>
        <v>14.271844660194166</v>
      </c>
    </row>
    <row r="38" spans="1:14" ht="13.5" thickBot="1" x14ac:dyDescent="0.25">
      <c r="A38" s="408"/>
      <c r="B38" s="409"/>
      <c r="C38" s="86" t="s">
        <v>8</v>
      </c>
      <c r="D38" s="185">
        <v>98</v>
      </c>
      <c r="E38" s="183">
        <f>IF($B$9&gt;0,(D33*D34+D35*D36+D37*D38)/$B$19,0)</f>
        <v>0</v>
      </c>
      <c r="F38" s="197">
        <f>IF(E38&gt;0,1000/E38-10,1000)</f>
        <v>1000</v>
      </c>
      <c r="J38" s="58">
        <f t="shared" si="1"/>
        <v>6.0947641032227844E-3</v>
      </c>
      <c r="K38" s="58">
        <f t="shared" si="2"/>
        <v>0.3433403088705031</v>
      </c>
      <c r="L38" s="58">
        <f t="shared" si="3"/>
        <v>1.5332590731452538</v>
      </c>
      <c r="M38" s="2">
        <f t="shared" si="6"/>
        <v>41.300000000000018</v>
      </c>
      <c r="N38" s="58">
        <f t="shared" si="4"/>
        <v>14.213075060532677</v>
      </c>
    </row>
    <row r="39" spans="1:14" x14ac:dyDescent="0.2">
      <c r="B39" s="3"/>
      <c r="F39" s="88"/>
      <c r="J39" s="58">
        <f t="shared" si="1"/>
        <v>6.6049453891260127E-3</v>
      </c>
      <c r="K39" s="58">
        <f t="shared" si="2"/>
        <v>0.34769296021319551</v>
      </c>
      <c r="L39" s="58">
        <f t="shared" si="3"/>
        <v>1.5434546834438407</v>
      </c>
      <c r="M39" s="2">
        <f t="shared" si="6"/>
        <v>41.40000000000002</v>
      </c>
      <c r="N39" s="58">
        <f t="shared" si="4"/>
        <v>14.154589371980666</v>
      </c>
    </row>
    <row r="40" spans="1:14" x14ac:dyDescent="0.2">
      <c r="A40" s="40"/>
      <c r="C40" s="141"/>
      <c r="D40" s="293" t="str">
        <f>$B$4</f>
        <v>2-year storm</v>
      </c>
      <c r="E40" s="293" t="str">
        <f>$C$4</f>
        <v>15-year storm</v>
      </c>
      <c r="F40" s="293" t="str">
        <f>$D$4</f>
        <v>100-year storm</v>
      </c>
      <c r="J40" s="58">
        <f t="shared" si="1"/>
        <v>7.1347991622186715E-3</v>
      </c>
      <c r="K40" s="58">
        <f t="shared" si="2"/>
        <v>0.3520655893944889</v>
      </c>
      <c r="L40" s="58">
        <f t="shared" si="3"/>
        <v>1.5536632908166568</v>
      </c>
      <c r="M40" s="2">
        <f t="shared" si="6"/>
        <v>41.500000000000021</v>
      </c>
      <c r="N40" s="58">
        <f t="shared" si="4"/>
        <v>14.096385542168662</v>
      </c>
    </row>
    <row r="41" spans="1:14" x14ac:dyDescent="0.2">
      <c r="A41" s="404" t="s">
        <v>213</v>
      </c>
      <c r="B41" s="404"/>
      <c r="C41" s="405"/>
      <c r="D41" s="197">
        <f>IF(B$5&gt;0.2*($F38),(B$5-0.2*($F38))^2/(B$5+0.8*($F38)),0)</f>
        <v>0</v>
      </c>
      <c r="E41" s="197">
        <f>IF(C$5&gt;0.2*($F38),(C$5-0.2*($F38))^2/(C$5+0.8*($F38)),0)</f>
        <v>0</v>
      </c>
      <c r="F41" s="197">
        <f>IF(D$5&gt;0.2*($F38),(D$5-0.2*($F38))^2/(D$5+0.8*($F38)),0)</f>
        <v>0</v>
      </c>
      <c r="J41" s="58">
        <f t="shared" si="1"/>
        <v>7.6842373984008869E-3</v>
      </c>
      <c r="K41" s="58">
        <f t="shared" si="2"/>
        <v>0.35645810192424621</v>
      </c>
      <c r="L41" s="58">
        <f t="shared" si="3"/>
        <v>1.5638847937692391</v>
      </c>
      <c r="M41" s="2">
        <f t="shared" si="6"/>
        <v>41.600000000000023</v>
      </c>
      <c r="N41" s="58">
        <f t="shared" si="4"/>
        <v>14.038461538461526</v>
      </c>
    </row>
    <row r="42" spans="1:14" x14ac:dyDescent="0.2">
      <c r="A42" s="404" t="s">
        <v>214</v>
      </c>
      <c r="B42" s="404"/>
      <c r="C42" s="405"/>
      <c r="D42" s="197">
        <f>IF($B$19&gt;0,D41-$C$19*12/$B$9,D41)</f>
        <v>0</v>
      </c>
      <c r="E42" s="197">
        <f>IF($B$19&gt;0,E41-$C$19*12/$B$9,E41)</f>
        <v>0</v>
      </c>
      <c r="F42" s="197">
        <f>IF($B$19&gt;0,F41-$C$19*12/$B$9,F41)</f>
        <v>0</v>
      </c>
      <c r="J42" s="58">
        <f t="shared" si="1"/>
        <v>8.2531730927431161E-3</v>
      </c>
      <c r="K42" s="58">
        <f t="shared" si="2"/>
        <v>0.36087040429877626</v>
      </c>
      <c r="L42" s="58">
        <f t="shared" si="3"/>
        <v>1.5741190917819874</v>
      </c>
      <c r="M42" s="2">
        <f t="shared" si="6"/>
        <v>41.700000000000024</v>
      </c>
      <c r="N42" s="58">
        <f t="shared" si="4"/>
        <v>13.980815347721808</v>
      </c>
    </row>
    <row r="43" spans="1:14" x14ac:dyDescent="0.2">
      <c r="A43" s="291"/>
      <c r="B43" s="291"/>
      <c r="C43" s="29" t="s">
        <v>28</v>
      </c>
      <c r="D43" s="198">
        <f>IF(D42&gt;0,VLOOKUP(D42,J$25:$N$639,4),0)</f>
        <v>0</v>
      </c>
      <c r="E43" s="198">
        <f>IF(E42&gt;0,VLOOKUP(E42,K$25:$N$639,3),0)</f>
        <v>0</v>
      </c>
      <c r="F43" s="198">
        <f>IF(F42&gt;0,VLOOKUP(F42,L$25:$N$639,2),0)</f>
        <v>0</v>
      </c>
      <c r="J43" s="58">
        <f t="shared" si="1"/>
        <v>8.84152024800503E-3</v>
      </c>
      <c r="K43" s="58">
        <f t="shared" si="2"/>
        <v>0.36530240398919506</v>
      </c>
      <c r="L43" s="58">
        <f t="shared" si="3"/>
        <v>1.5843660852985024</v>
      </c>
      <c r="M43" s="2">
        <f t="shared" si="6"/>
        <v>41.800000000000026</v>
      </c>
      <c r="N43" s="58">
        <f t="shared" si="4"/>
        <v>13.923444976076539</v>
      </c>
    </row>
    <row r="44" spans="1:14" x14ac:dyDescent="0.2">
      <c r="A44" s="4"/>
      <c r="B44" s="3"/>
      <c r="F44" s="51"/>
      <c r="J44" s="58">
        <f t="shared" si="1"/>
        <v>9.4491938633223908E-3</v>
      </c>
      <c r="K44" s="58">
        <f t="shared" si="2"/>
        <v>0.36975400942995457</v>
      </c>
      <c r="L44" s="58">
        <f t="shared" si="3"/>
        <v>1.5946256757140911</v>
      </c>
      <c r="M44" s="2">
        <f t="shared" si="6"/>
        <v>41.900000000000027</v>
      </c>
      <c r="N44" s="58">
        <f t="shared" si="4"/>
        <v>13.866348448687337</v>
      </c>
    </row>
    <row r="45" spans="1:14" x14ac:dyDescent="0.2">
      <c r="A45" s="421" t="s">
        <v>157</v>
      </c>
      <c r="B45" s="421"/>
      <c r="C45" s="421"/>
      <c r="D45" s="421"/>
      <c r="E45" s="421"/>
      <c r="F45" s="421"/>
      <c r="J45" s="58">
        <f t="shared" si="1"/>
        <v>1.0076109923059157E-2</v>
      </c>
      <c r="K45" s="58">
        <f t="shared" si="2"/>
        <v>0.37422513000753788</v>
      </c>
      <c r="L45" s="58">
        <f t="shared" si="3"/>
        <v>1.6048977653644378</v>
      </c>
      <c r="M45" s="2">
        <f t="shared" si="6"/>
        <v>42.000000000000028</v>
      </c>
      <c r="N45" s="58">
        <f t="shared" si="4"/>
        <v>13.809523809523792</v>
      </c>
    </row>
    <row r="46" spans="1:14" ht="13.5" thickBot="1" x14ac:dyDescent="0.25">
      <c r="A46" s="416" t="s">
        <v>211</v>
      </c>
      <c r="B46" s="417"/>
      <c r="C46" s="263"/>
      <c r="D46" s="263" t="s">
        <v>27</v>
      </c>
      <c r="E46" s="51"/>
      <c r="F46" s="51"/>
      <c r="J46" s="58">
        <f t="shared" si="1"/>
        <v>6.0947641032227844E-3</v>
      </c>
      <c r="K46" s="58">
        <f t="shared" si="2"/>
        <v>0.3433403088705031</v>
      </c>
      <c r="L46" s="58">
        <f t="shared" si="3"/>
        <v>1.5332590731452538</v>
      </c>
      <c r="M46" s="2">
        <f>M37+0.1</f>
        <v>41.300000000000018</v>
      </c>
      <c r="N46" s="58">
        <f t="shared" ref="N46:N53" si="7">IF(M46&gt;0,1000/M46-10,1000)</f>
        <v>14.213075060532677</v>
      </c>
    </row>
    <row r="47" spans="1:14" x14ac:dyDescent="0.2">
      <c r="A47" s="415" t="s">
        <v>24</v>
      </c>
      <c r="B47" s="407"/>
      <c r="C47" s="85" t="s">
        <v>61</v>
      </c>
      <c r="D47" s="266">
        <f>'SDA 1'!$B$6</f>
        <v>0</v>
      </c>
      <c r="E47" s="16"/>
      <c r="F47" s="16"/>
      <c r="J47" s="58">
        <f t="shared" si="1"/>
        <v>6.6049453891260127E-3</v>
      </c>
      <c r="K47" s="58">
        <f t="shared" si="2"/>
        <v>0.34769296021319551</v>
      </c>
      <c r="L47" s="58">
        <f t="shared" si="3"/>
        <v>1.5434546834438407</v>
      </c>
      <c r="M47" s="2">
        <f t="shared" si="6"/>
        <v>41.40000000000002</v>
      </c>
      <c r="N47" s="58">
        <f t="shared" si="7"/>
        <v>14.154589371980666</v>
      </c>
    </row>
    <row r="48" spans="1:14" ht="13.5" thickBot="1" x14ac:dyDescent="0.25">
      <c r="A48" s="408"/>
      <c r="B48" s="409"/>
      <c r="C48" s="86" t="s">
        <v>8</v>
      </c>
      <c r="D48" s="184">
        <v>70</v>
      </c>
      <c r="E48" s="115"/>
      <c r="F48" s="115"/>
      <c r="J48" s="58">
        <f t="shared" si="1"/>
        <v>7.1347991622186715E-3</v>
      </c>
      <c r="K48" s="58">
        <f t="shared" si="2"/>
        <v>0.3520655893944889</v>
      </c>
      <c r="L48" s="58">
        <f t="shared" si="3"/>
        <v>1.5536632908166568</v>
      </c>
      <c r="M48" s="2">
        <f t="shared" si="6"/>
        <v>41.500000000000021</v>
      </c>
      <c r="N48" s="58">
        <f t="shared" si="7"/>
        <v>14.096385542168662</v>
      </c>
    </row>
    <row r="49" spans="1:14" ht="13.35" customHeight="1" x14ac:dyDescent="0.2">
      <c r="A49" s="415" t="s">
        <v>30</v>
      </c>
      <c r="B49" s="407"/>
      <c r="C49" s="85" t="s">
        <v>61</v>
      </c>
      <c r="D49" s="266">
        <f>'SDA 1'!$B$7</f>
        <v>0</v>
      </c>
      <c r="E49" s="16"/>
      <c r="F49" s="16"/>
      <c r="J49" s="58">
        <f t="shared" si="1"/>
        <v>7.6842373984008869E-3</v>
      </c>
      <c r="K49" s="58">
        <f t="shared" si="2"/>
        <v>0.35645810192424621</v>
      </c>
      <c r="L49" s="58">
        <f t="shared" si="3"/>
        <v>1.5638847937692391</v>
      </c>
      <c r="M49" s="2">
        <f t="shared" si="6"/>
        <v>41.600000000000023</v>
      </c>
      <c r="N49" s="58">
        <f t="shared" si="7"/>
        <v>14.038461538461526</v>
      </c>
    </row>
    <row r="50" spans="1:14" ht="13.5" thickBot="1" x14ac:dyDescent="0.25">
      <c r="A50" s="408"/>
      <c r="B50" s="409"/>
      <c r="C50" s="86" t="s">
        <v>8</v>
      </c>
      <c r="D50" s="184">
        <v>74</v>
      </c>
      <c r="E50" s="115"/>
      <c r="F50" s="115"/>
      <c r="J50" s="58">
        <f t="shared" si="1"/>
        <v>8.2531730927431161E-3</v>
      </c>
      <c r="K50" s="58">
        <f t="shared" si="2"/>
        <v>0.36087040429877626</v>
      </c>
      <c r="L50" s="58">
        <f t="shared" si="3"/>
        <v>1.5741190917819874</v>
      </c>
      <c r="M50" s="2">
        <f t="shared" si="6"/>
        <v>41.700000000000024</v>
      </c>
      <c r="N50" s="58">
        <f t="shared" si="7"/>
        <v>13.980815347721808</v>
      </c>
    </row>
    <row r="51" spans="1:14" ht="13.35" customHeight="1" x14ac:dyDescent="0.2">
      <c r="A51" s="406" t="s">
        <v>144</v>
      </c>
      <c r="B51" s="407"/>
      <c r="C51" s="85" t="s">
        <v>61</v>
      </c>
      <c r="D51" s="266">
        <f>'SDA 1'!$B$8+'SDA 1'!$B$9</f>
        <v>0</v>
      </c>
      <c r="E51" s="202" t="s">
        <v>7</v>
      </c>
      <c r="F51" s="203" t="s">
        <v>9</v>
      </c>
      <c r="J51" s="58">
        <f t="shared" si="1"/>
        <v>8.84152024800503E-3</v>
      </c>
      <c r="K51" s="58">
        <f t="shared" si="2"/>
        <v>0.36530240398919506</v>
      </c>
      <c r="L51" s="58">
        <f t="shared" si="3"/>
        <v>1.5843660852985024</v>
      </c>
      <c r="M51" s="2">
        <f t="shared" si="6"/>
        <v>41.800000000000026</v>
      </c>
      <c r="N51" s="58">
        <f t="shared" si="7"/>
        <v>13.923444976076539</v>
      </c>
    </row>
    <row r="52" spans="1:14" ht="13.5" thickBot="1" x14ac:dyDescent="0.25">
      <c r="A52" s="408"/>
      <c r="B52" s="409"/>
      <c r="C52" s="86" t="s">
        <v>8</v>
      </c>
      <c r="D52" s="185">
        <v>98</v>
      </c>
      <c r="E52" s="183">
        <f>IF($B$9&gt;0,(D47*D48+D49*D50+D51*D52)/$B$9,0)</f>
        <v>0</v>
      </c>
      <c r="F52" s="197">
        <f>IF(E52&gt;0,1000/E52-10,1000)</f>
        <v>1000</v>
      </c>
      <c r="J52" s="58">
        <f t="shared" si="1"/>
        <v>9.4491938633223908E-3</v>
      </c>
      <c r="K52" s="58">
        <f t="shared" si="2"/>
        <v>0.36975400942995457</v>
      </c>
      <c r="L52" s="58">
        <f t="shared" si="3"/>
        <v>1.5946256757140911</v>
      </c>
      <c r="M52" s="2">
        <f t="shared" si="6"/>
        <v>41.900000000000027</v>
      </c>
      <c r="N52" s="58">
        <f t="shared" si="7"/>
        <v>13.866348448687337</v>
      </c>
    </row>
    <row r="53" spans="1:14" x14ac:dyDescent="0.2">
      <c r="A53" s="38"/>
      <c r="B53" s="28"/>
      <c r="J53" s="58">
        <f t="shared" si="1"/>
        <v>1.0076109923059157E-2</v>
      </c>
      <c r="K53" s="58">
        <f t="shared" si="2"/>
        <v>0.37422513000753788</v>
      </c>
      <c r="L53" s="58">
        <f t="shared" si="3"/>
        <v>1.6048977653644378</v>
      </c>
      <c r="M53" s="2">
        <f t="shared" si="6"/>
        <v>42.000000000000028</v>
      </c>
      <c r="N53" s="58">
        <f t="shared" si="7"/>
        <v>13.809523809523792</v>
      </c>
    </row>
    <row r="54" spans="1:14" ht="13.5" thickBot="1" x14ac:dyDescent="0.25">
      <c r="A54" s="413" t="s">
        <v>212</v>
      </c>
      <c r="B54" s="414"/>
      <c r="C54" s="201"/>
      <c r="D54" s="264" t="s">
        <v>27</v>
      </c>
      <c r="E54" s="51"/>
      <c r="F54" s="51"/>
      <c r="J54" s="58">
        <f t="shared" si="1"/>
        <v>1.0722185385821519E-2</v>
      </c>
      <c r="K54" s="58">
        <f t="shared" si="2"/>
        <v>0.3787156760493115</v>
      </c>
      <c r="L54" s="58">
        <f t="shared" si="3"/>
        <v>1.6151822575144332</v>
      </c>
      <c r="M54" s="2">
        <f>M45+0.1</f>
        <v>42.10000000000003</v>
      </c>
      <c r="N54" s="58">
        <f t="shared" si="4"/>
        <v>13.752969121140126</v>
      </c>
    </row>
    <row r="55" spans="1:14" x14ac:dyDescent="0.2">
      <c r="A55" s="415" t="s">
        <v>24</v>
      </c>
      <c r="B55" s="407"/>
      <c r="C55" s="85" t="s">
        <v>61</v>
      </c>
      <c r="D55" s="265">
        <f>'SDA 1'!$B$14+'SDA 1'!$C$14</f>
        <v>0</v>
      </c>
      <c r="E55" s="16"/>
      <c r="F55" s="16"/>
      <c r="J55" s="58">
        <f t="shared" si="1"/>
        <v>1.1387338173632192E-2</v>
      </c>
      <c r="K55" s="58">
        <f t="shared" si="2"/>
        <v>0.38322555881254167</v>
      </c>
      <c r="L55" s="58">
        <f t="shared" si="3"/>
        <v>1.6254790563471655</v>
      </c>
      <c r="M55" s="2">
        <f t="shared" si="6"/>
        <v>42.200000000000031</v>
      </c>
      <c r="N55" s="58">
        <f t="shared" si="4"/>
        <v>13.696682464454959</v>
      </c>
    </row>
    <row r="56" spans="1:14" ht="13.5" thickBot="1" x14ac:dyDescent="0.25">
      <c r="A56" s="408"/>
      <c r="B56" s="409"/>
      <c r="C56" s="86" t="s">
        <v>8</v>
      </c>
      <c r="D56" s="184">
        <v>70</v>
      </c>
      <c r="E56" s="115"/>
      <c r="F56" s="115"/>
      <c r="J56" s="58">
        <f t="shared" si="1"/>
        <v>1.2071487161261338E-2</v>
      </c>
      <c r="K56" s="58">
        <f t="shared" si="2"/>
        <v>0.38775469047356242</v>
      </c>
      <c r="L56" s="58">
        <f t="shared" si="3"/>
        <v>1.6357880669530684</v>
      </c>
      <c r="M56" s="2">
        <f t="shared" si="6"/>
        <v>42.300000000000033</v>
      </c>
      <c r="N56" s="58">
        <f t="shared" si="4"/>
        <v>13.640661938534262</v>
      </c>
    </row>
    <row r="57" spans="1:14" x14ac:dyDescent="0.2">
      <c r="A57" s="415" t="s">
        <v>30</v>
      </c>
      <c r="B57" s="407"/>
      <c r="C57" s="85" t="s">
        <v>61</v>
      </c>
      <c r="D57" s="266">
        <f>'SDA 1'!$B$15+'SDA 1'!$C$15</f>
        <v>0</v>
      </c>
      <c r="E57" s="16"/>
      <c r="F57" s="16"/>
      <c r="J57" s="58">
        <f t="shared" si="1"/>
        <v>1.2774552165712246E-2</v>
      </c>
      <c r="K57" s="58">
        <f t="shared" si="2"/>
        <v>0.39230298411710068</v>
      </c>
      <c r="L57" s="58">
        <f t="shared" si="3"/>
        <v>1.6461091953192186</v>
      </c>
      <c r="M57" s="2">
        <f t="shared" si="6"/>
        <v>42.400000000000034</v>
      </c>
      <c r="N57" s="58">
        <f t="shared" si="4"/>
        <v>13.584905660377341</v>
      </c>
    </row>
    <row r="58" spans="1:14" ht="13.5" thickBot="1" x14ac:dyDescent="0.25">
      <c r="A58" s="408"/>
      <c r="B58" s="409"/>
      <c r="C58" s="86" t="s">
        <v>8</v>
      </c>
      <c r="D58" s="184">
        <v>74</v>
      </c>
      <c r="E58" s="115"/>
      <c r="F58" s="115"/>
      <c r="J58" s="58">
        <f t="shared" si="1"/>
        <v>1.3496453935858875E-2</v>
      </c>
      <c r="K58" s="58">
        <f t="shared" si="2"/>
        <v>0.39687035372575052</v>
      </c>
      <c r="L58" s="58">
        <f t="shared" si="3"/>
        <v>1.6564423483187898</v>
      </c>
      <c r="M58" s="2">
        <f t="shared" si="6"/>
        <v>42.500000000000036</v>
      </c>
      <c r="N58" s="58">
        <f t="shared" si="4"/>
        <v>13.529411764705863</v>
      </c>
    </row>
    <row r="59" spans="1:14" x14ac:dyDescent="0.2">
      <c r="A59" s="406" t="s">
        <v>144</v>
      </c>
      <c r="B59" s="407"/>
      <c r="C59" s="85" t="s">
        <v>61</v>
      </c>
      <c r="D59" s="266">
        <f>'SDA 1'!$B$16+'SDA 1'!$B$18+'SDA 1'!$C$16+'SDA 1'!$C$18</f>
        <v>0</v>
      </c>
      <c r="E59" s="202" t="s">
        <v>7</v>
      </c>
      <c r="F59" s="203" t="s">
        <v>9</v>
      </c>
      <c r="J59" s="58">
        <f t="shared" si="1"/>
        <v>1.4237114142232775E-2</v>
      </c>
      <c r="K59" s="58">
        <f t="shared" si="2"/>
        <v>0.40145671416959577</v>
      </c>
      <c r="L59" s="58">
        <f t="shared" si="3"/>
        <v>1.6667874337006472</v>
      </c>
      <c r="M59" s="2">
        <f t="shared" si="6"/>
        <v>42.600000000000037</v>
      </c>
      <c r="N59" s="58">
        <f t="shared" si="4"/>
        <v>13.474178403755847</v>
      </c>
    </row>
    <row r="60" spans="1:14" ht="13.5" thickBot="1" x14ac:dyDescent="0.25">
      <c r="A60" s="408"/>
      <c r="B60" s="409"/>
      <c r="C60" s="86" t="s">
        <v>8</v>
      </c>
      <c r="D60" s="185">
        <v>98</v>
      </c>
      <c r="E60" s="183">
        <f>IF($B$9&gt;0,(D55*D56+D57*D58+D59*D60)/$B$9,0)</f>
        <v>0</v>
      </c>
      <c r="F60" s="197">
        <f>IF(E60&gt;0,1000/E60-10,1000)</f>
        <v>1000</v>
      </c>
      <c r="J60" s="58">
        <f t="shared" si="1"/>
        <v>1.4996455366957319E-2</v>
      </c>
      <c r="K60" s="58">
        <f t="shared" si="2"/>
        <v>0.40606198119598064</v>
      </c>
      <c r="L60" s="58">
        <f t="shared" si="3"/>
        <v>1.6771443600790978</v>
      </c>
      <c r="M60" s="2">
        <f t="shared" si="6"/>
        <v>42.700000000000038</v>
      </c>
      <c r="N60" s="58">
        <f t="shared" si="4"/>
        <v>13.419203747072579</v>
      </c>
    </row>
    <row r="61" spans="1:14" x14ac:dyDescent="0.2">
      <c r="B61" s="3"/>
      <c r="F61" s="88"/>
      <c r="J61" s="58">
        <f t="shared" si="1"/>
        <v>1.5774401093826641E-2</v>
      </c>
      <c r="K61" s="58">
        <f t="shared" si="2"/>
        <v>0.41068607141942354</v>
      </c>
      <c r="L61" s="58">
        <f t="shared" si="3"/>
        <v>1.6875130369237807</v>
      </c>
      <c r="M61" s="2">
        <f t="shared" si="6"/>
        <v>42.80000000000004</v>
      </c>
      <c r="N61" s="58">
        <f t="shared" si="4"/>
        <v>13.364485981308391</v>
      </c>
    </row>
    <row r="62" spans="1:14" x14ac:dyDescent="0.2">
      <c r="A62" s="40"/>
      <c r="C62" s="141"/>
      <c r="D62" s="196" t="str">
        <f>$B$4</f>
        <v>2-year storm</v>
      </c>
      <c r="E62" s="196" t="str">
        <f>$C$4</f>
        <v>15-year storm</v>
      </c>
      <c r="F62" s="196" t="str">
        <f>$D$4</f>
        <v>100-year storm</v>
      </c>
      <c r="J62" s="58">
        <f t="shared" si="1"/>
        <v>1.6570875698526489E-2</v>
      </c>
      <c r="K62" s="58">
        <f t="shared" si="2"/>
        <v>0.4153289023116708</v>
      </c>
      <c r="L62" s="58">
        <f t="shared" si="3"/>
        <v>1.6978933745496929</v>
      </c>
      <c r="M62" s="2">
        <f t="shared" si="6"/>
        <v>42.900000000000041</v>
      </c>
      <c r="N62" s="58">
        <f t="shared" si="4"/>
        <v>13.310023310023286</v>
      </c>
    </row>
    <row r="63" spans="1:14" ht="12.75" customHeight="1" x14ac:dyDescent="0.2">
      <c r="A63" s="404" t="s">
        <v>213</v>
      </c>
      <c r="B63" s="404"/>
      <c r="C63" s="405"/>
      <c r="D63" s="197">
        <f>IF(B$5&gt;0.2*($F60),(B$5-0.2*($F60))^2/(B$5+0.8*($F60)),0)</f>
        <v>0</v>
      </c>
      <c r="E63" s="197">
        <f>IF(C$5&gt;0.2*($F60),(C$5-0.2*($F60))^2/(C$5+0.8*($F60)),0)</f>
        <v>0</v>
      </c>
      <c r="F63" s="197">
        <f>IF(D$5&gt;0.2*($F60),(D$5-0.2*($F60))^2/(D$5+0.8*($F60)),0)</f>
        <v>0</v>
      </c>
      <c r="J63" s="58">
        <f t="shared" si="1"/>
        <v>1.7385804438995425E-2</v>
      </c>
      <c r="K63" s="58">
        <f t="shared" si="2"/>
        <v>0.41999039219189033</v>
      </c>
      <c r="L63" s="58">
        <f t="shared" si="3"/>
        <v>1.7082852841073606</v>
      </c>
      <c r="M63" s="2">
        <f t="shared" si="6"/>
        <v>43.000000000000043</v>
      </c>
      <c r="N63" s="58">
        <f t="shared" si="4"/>
        <v>13.255813953488349</v>
      </c>
    </row>
    <row r="64" spans="1:14" ht="12.75" customHeight="1" x14ac:dyDescent="0.2">
      <c r="A64" s="404" t="s">
        <v>214</v>
      </c>
      <c r="B64" s="404"/>
      <c r="C64" s="405"/>
      <c r="D64" s="197">
        <f>IF($B$9&gt;0,D63-$C$9*12/$B$9,D63)</f>
        <v>0</v>
      </c>
      <c r="E64" s="197">
        <f>IF($B$9&gt;0,E63-$C$9*12/$B$9,E63)</f>
        <v>0</v>
      </c>
      <c r="F64" s="197">
        <f>IF($B$9&gt;0,F63-$C$9*12/$B$9,F63)</f>
        <v>0</v>
      </c>
      <c r="J64" s="58">
        <f t="shared" si="1"/>
        <v>1.8219113445924168E-2</v>
      </c>
      <c r="K64" s="58">
        <f t="shared" si="2"/>
        <v>0.42467046021700516</v>
      </c>
      <c r="L64" s="58">
        <f t="shared" si="3"/>
        <v>1.718688677573152</v>
      </c>
      <c r="M64" s="2">
        <f t="shared" si="6"/>
        <v>43.100000000000044</v>
      </c>
      <c r="N64" s="58">
        <f t="shared" si="4"/>
        <v>13.201856148491856</v>
      </c>
    </row>
    <row r="65" spans="1:14" ht="12.75" customHeight="1" x14ac:dyDescent="0.2">
      <c r="A65" s="195"/>
      <c r="B65" s="195"/>
      <c r="C65" s="29" t="s">
        <v>28</v>
      </c>
      <c r="D65" s="198">
        <f>IF(D64&gt;0,VLOOKUP(D64,J$25:$N$639,4),0)</f>
        <v>0</v>
      </c>
      <c r="E65" s="198">
        <f>IF(E64&gt;0,VLOOKUP(E64,K$25:$N$639,3),0)</f>
        <v>0</v>
      </c>
      <c r="F65" s="198">
        <f>IF(F64&gt;0,VLOOKUP(F64,L$25:$N$639,2),0)</f>
        <v>0</v>
      </c>
      <c r="H65" s="41"/>
      <c r="J65" s="58">
        <f t="shared" si="1"/>
        <v>1.9070729713389686E-2</v>
      </c>
      <c r="K65" s="58">
        <f t="shared" si="2"/>
        <v>0.42936902637215646</v>
      </c>
      <c r="L65" s="58">
        <f t="shared" si="3"/>
        <v>1.729103467739711</v>
      </c>
      <c r="M65" s="2">
        <f t="shared" si="6"/>
        <v>43.200000000000045</v>
      </c>
      <c r="N65" s="58">
        <f t="shared" si="4"/>
        <v>13.148148148148124</v>
      </c>
    </row>
    <row r="66" spans="1:14" ht="12.75" customHeight="1" x14ac:dyDescent="0.2">
      <c r="A66" s="4"/>
      <c r="B66" s="3"/>
      <c r="F66" s="51"/>
      <c r="H66" s="79"/>
      <c r="J66" s="58">
        <f t="shared" si="1"/>
        <v>1.9940581089623335E-2</v>
      </c>
      <c r="K66" s="58">
        <f t="shared" si="2"/>
        <v>0.43408601146130232</v>
      </c>
      <c r="L66" s="58">
        <f t="shared" si="3"/>
        <v>1.7395295682065344</v>
      </c>
      <c r="M66" s="2">
        <f t="shared" si="6"/>
        <v>43.300000000000047</v>
      </c>
      <c r="N66" s="58">
        <f t="shared" si="4"/>
        <v>13.094688221708982</v>
      </c>
    </row>
    <row r="67" spans="1:14" ht="12.75" customHeight="1" x14ac:dyDescent="0.2">
      <c r="A67" s="421" t="s">
        <v>158</v>
      </c>
      <c r="B67" s="421"/>
      <c r="C67" s="421"/>
      <c r="D67" s="421"/>
      <c r="E67" s="421"/>
      <c r="F67" s="421"/>
      <c r="H67" s="79"/>
      <c r="J67" s="58">
        <f t="shared" si="1"/>
        <v>2.0828596267910175E-2</v>
      </c>
      <c r="K67" s="58">
        <f t="shared" si="2"/>
        <v>0.43882133709794724</v>
      </c>
      <c r="L67" s="58">
        <f t="shared" si="3"/>
        <v>1.7499668933706767</v>
      </c>
      <c r="M67" s="2">
        <f t="shared" si="6"/>
        <v>43.400000000000048</v>
      </c>
      <c r="N67" s="58">
        <f t="shared" si="4"/>
        <v>13.041474654377854</v>
      </c>
    </row>
    <row r="68" spans="1:14" ht="12.75" customHeight="1" thickBot="1" x14ac:dyDescent="0.25">
      <c r="A68" s="416" t="s">
        <v>211</v>
      </c>
      <c r="B68" s="417"/>
      <c r="C68" s="263"/>
      <c r="D68" s="39" t="s">
        <v>27</v>
      </c>
      <c r="E68" s="51"/>
      <c r="F68" s="51"/>
      <c r="H68" s="79"/>
      <c r="J68" s="58">
        <f t="shared" si="1"/>
        <v>1.4996455366957319E-2</v>
      </c>
      <c r="K68" s="58">
        <f t="shared" si="2"/>
        <v>0.40606198119598064</v>
      </c>
      <c r="L68" s="58">
        <f t="shared" si="3"/>
        <v>1.6771443600790978</v>
      </c>
      <c r="M68" s="2">
        <f>M59+0.1</f>
        <v>42.700000000000038</v>
      </c>
      <c r="N68" s="58">
        <f t="shared" ref="N68:N75" si="8">IF(M68&gt;0,1000/M68-10,1000)</f>
        <v>13.419203747072579</v>
      </c>
    </row>
    <row r="69" spans="1:14" ht="12.75" customHeight="1" x14ac:dyDescent="0.2">
      <c r="A69" s="415" t="s">
        <v>24</v>
      </c>
      <c r="B69" s="407"/>
      <c r="C69" s="85" t="s">
        <v>61</v>
      </c>
      <c r="D69" s="266">
        <f>'SDA 2'!$B$6</f>
        <v>0</v>
      </c>
      <c r="E69" s="16"/>
      <c r="F69" s="16"/>
      <c r="H69" s="79"/>
      <c r="J69" s="58">
        <f t="shared" si="1"/>
        <v>1.5774401093826641E-2</v>
      </c>
      <c r="K69" s="58">
        <f t="shared" si="2"/>
        <v>0.41068607141942354</v>
      </c>
      <c r="L69" s="58">
        <f t="shared" si="3"/>
        <v>1.6875130369237807</v>
      </c>
      <c r="M69" s="2">
        <f t="shared" si="6"/>
        <v>42.80000000000004</v>
      </c>
      <c r="N69" s="58">
        <f t="shared" si="8"/>
        <v>13.364485981308391</v>
      </c>
    </row>
    <row r="70" spans="1:14" ht="12.75" customHeight="1" thickBot="1" x14ac:dyDescent="0.25">
      <c r="A70" s="408"/>
      <c r="B70" s="409"/>
      <c r="C70" s="86" t="s">
        <v>8</v>
      </c>
      <c r="D70" s="184">
        <v>70</v>
      </c>
      <c r="E70" s="115"/>
      <c r="F70" s="115"/>
      <c r="H70" s="79"/>
      <c r="J70" s="58">
        <f t="shared" si="1"/>
        <v>1.6570875698526489E-2</v>
      </c>
      <c r="K70" s="58">
        <f t="shared" si="2"/>
        <v>0.4153289023116708</v>
      </c>
      <c r="L70" s="58">
        <f t="shared" si="3"/>
        <v>1.6978933745496929</v>
      </c>
      <c r="M70" s="2">
        <f t="shared" si="6"/>
        <v>42.900000000000041</v>
      </c>
      <c r="N70" s="58">
        <f t="shared" si="8"/>
        <v>13.310023310023286</v>
      </c>
    </row>
    <row r="71" spans="1:14" ht="12.75" customHeight="1" x14ac:dyDescent="0.2">
      <c r="A71" s="415" t="s">
        <v>30</v>
      </c>
      <c r="B71" s="407"/>
      <c r="C71" s="85" t="s">
        <v>61</v>
      </c>
      <c r="D71" s="266">
        <f>'SDA 2'!$B$7</f>
        <v>0</v>
      </c>
      <c r="E71" s="16"/>
      <c r="F71" s="16"/>
      <c r="H71" s="79"/>
      <c r="J71" s="58">
        <f t="shared" si="1"/>
        <v>1.7385804438995425E-2</v>
      </c>
      <c r="K71" s="58">
        <f t="shared" si="2"/>
        <v>0.41999039219189033</v>
      </c>
      <c r="L71" s="58">
        <f t="shared" si="3"/>
        <v>1.7082852841073606</v>
      </c>
      <c r="M71" s="2">
        <f t="shared" si="6"/>
        <v>43.000000000000043</v>
      </c>
      <c r="N71" s="58">
        <f t="shared" si="8"/>
        <v>13.255813953488349</v>
      </c>
    </row>
    <row r="72" spans="1:14" ht="12.75" customHeight="1" thickBot="1" x14ac:dyDescent="0.25">
      <c r="A72" s="408"/>
      <c r="B72" s="409"/>
      <c r="C72" s="86" t="s">
        <v>8</v>
      </c>
      <c r="D72" s="184">
        <v>74</v>
      </c>
      <c r="E72" s="115"/>
      <c r="F72" s="115"/>
      <c r="H72" s="79"/>
      <c r="J72" s="58">
        <f t="shared" si="1"/>
        <v>1.8219113445924168E-2</v>
      </c>
      <c r="K72" s="58">
        <f t="shared" si="2"/>
        <v>0.42467046021700516</v>
      </c>
      <c r="L72" s="58">
        <f t="shared" si="3"/>
        <v>1.718688677573152</v>
      </c>
      <c r="M72" s="2">
        <f t="shared" si="6"/>
        <v>43.100000000000044</v>
      </c>
      <c r="N72" s="58">
        <f t="shared" si="8"/>
        <v>13.201856148491856</v>
      </c>
    </row>
    <row r="73" spans="1:14" ht="12.75" customHeight="1" x14ac:dyDescent="0.2">
      <c r="A73" s="406" t="s">
        <v>144</v>
      </c>
      <c r="B73" s="407"/>
      <c r="C73" s="85" t="s">
        <v>61</v>
      </c>
      <c r="D73" s="266">
        <f>'SDA 2'!$B$8+'SDA 2'!$B$9</f>
        <v>0</v>
      </c>
      <c r="E73" s="202" t="s">
        <v>7</v>
      </c>
      <c r="F73" s="203" t="s">
        <v>9</v>
      </c>
      <c r="H73" s="79"/>
      <c r="J73" s="58">
        <f t="shared" si="1"/>
        <v>1.9070729713389686E-2</v>
      </c>
      <c r="K73" s="58">
        <f t="shared" si="2"/>
        <v>0.42936902637215646</v>
      </c>
      <c r="L73" s="58">
        <f t="shared" si="3"/>
        <v>1.729103467739711</v>
      </c>
      <c r="M73" s="2">
        <f t="shared" si="6"/>
        <v>43.200000000000045</v>
      </c>
      <c r="N73" s="58">
        <f t="shared" si="8"/>
        <v>13.148148148148124</v>
      </c>
    </row>
    <row r="74" spans="1:14" ht="12.75" customHeight="1" thickBot="1" x14ac:dyDescent="0.25">
      <c r="A74" s="408"/>
      <c r="B74" s="409"/>
      <c r="C74" s="86" t="s">
        <v>8</v>
      </c>
      <c r="D74" s="185">
        <v>98</v>
      </c>
      <c r="E74" s="183">
        <f>IF($B$10&gt;0,(D69*D70+D71*D72+D73*D74)/$B$10,0)</f>
        <v>0</v>
      </c>
      <c r="F74" s="197">
        <f>IF(E74&gt;0,1000/E74-10,1000)</f>
        <v>1000</v>
      </c>
      <c r="H74" s="79"/>
      <c r="J74" s="58">
        <f t="shared" si="1"/>
        <v>1.9940581089623335E-2</v>
      </c>
      <c r="K74" s="58">
        <f t="shared" si="2"/>
        <v>0.43408601146130232</v>
      </c>
      <c r="L74" s="58">
        <f t="shared" si="3"/>
        <v>1.7395295682065344</v>
      </c>
      <c r="M74" s="2">
        <f t="shared" si="6"/>
        <v>43.300000000000047</v>
      </c>
      <c r="N74" s="58">
        <f t="shared" si="8"/>
        <v>13.094688221708982</v>
      </c>
    </row>
    <row r="75" spans="1:14" ht="12.75" customHeight="1" x14ac:dyDescent="0.2">
      <c r="A75" s="38"/>
      <c r="B75" s="28"/>
      <c r="F75" s="88"/>
      <c r="J75" s="58">
        <f t="shared" si="1"/>
        <v>2.0828596267910175E-2</v>
      </c>
      <c r="K75" s="58">
        <f t="shared" si="2"/>
        <v>0.43882133709794724</v>
      </c>
      <c r="L75" s="58">
        <f t="shared" si="3"/>
        <v>1.7499668933706767</v>
      </c>
      <c r="M75" s="2">
        <f t="shared" si="6"/>
        <v>43.400000000000048</v>
      </c>
      <c r="N75" s="58">
        <f t="shared" si="8"/>
        <v>13.041474654377854</v>
      </c>
    </row>
    <row r="76" spans="1:14" ht="12.75" customHeight="1" thickBot="1" x14ac:dyDescent="0.25">
      <c r="A76" s="413" t="s">
        <v>212</v>
      </c>
      <c r="B76" s="414"/>
      <c r="C76" s="264"/>
      <c r="D76" s="268" t="s">
        <v>27</v>
      </c>
      <c r="E76" s="51"/>
      <c r="F76" s="51"/>
      <c r="H76" s="79"/>
      <c r="J76" s="58">
        <f t="shared" si="1"/>
        <v>2.1734704777617256E-2</v>
      </c>
      <c r="K76" s="58">
        <f t="shared" si="2"/>
        <v>0.44357492569599805</v>
      </c>
      <c r="L76" s="58">
        <f t="shared" si="3"/>
        <v>1.7604153584175819</v>
      </c>
      <c r="M76" s="2">
        <f>M67+0.1</f>
        <v>43.50000000000005</v>
      </c>
      <c r="N76" s="58">
        <f t="shared" si="4"/>
        <v>12.98850574712641</v>
      </c>
    </row>
    <row r="77" spans="1:14" ht="12.75" customHeight="1" x14ac:dyDescent="0.2">
      <c r="A77" s="415" t="s">
        <v>24</v>
      </c>
      <c r="B77" s="407"/>
      <c r="C77" s="85" t="s">
        <v>61</v>
      </c>
      <c r="D77" s="265">
        <f>'SDA 2'!$B$14+'SDA 2'!$C$14</f>
        <v>0</v>
      </c>
      <c r="E77" s="16"/>
      <c r="F77" s="16"/>
      <c r="H77" s="79"/>
      <c r="J77" s="58">
        <f t="shared" si="1"/>
        <v>2.2658836975349157E-2</v>
      </c>
      <c r="K77" s="58">
        <f t="shared" si="2"/>
        <v>0.44834670046074687</v>
      </c>
      <c r="L77" s="58">
        <f t="shared" si="3"/>
        <v>1.7708748793120415</v>
      </c>
      <c r="M77" s="2">
        <f t="shared" si="6"/>
        <v>43.600000000000051</v>
      </c>
      <c r="N77" s="58">
        <f t="shared" si="4"/>
        <v>12.935779816513733</v>
      </c>
    </row>
    <row r="78" spans="1:14" ht="12.75" customHeight="1" thickBot="1" x14ac:dyDescent="0.25">
      <c r="A78" s="408"/>
      <c r="B78" s="409"/>
      <c r="C78" s="86" t="s">
        <v>8</v>
      </c>
      <c r="D78" s="184">
        <v>70</v>
      </c>
      <c r="E78" s="115"/>
      <c r="F78" s="115"/>
      <c r="H78" s="79"/>
      <c r="J78" s="58">
        <f t="shared" si="1"/>
        <v>2.3600924036228783E-2</v>
      </c>
      <c r="K78" s="58">
        <f t="shared" si="2"/>
        <v>0.4531365853799792</v>
      </c>
      <c r="L78" s="58">
        <f t="shared" si="3"/>
        <v>1.7813453727892776</v>
      </c>
      <c r="M78" s="2">
        <f t="shared" si="6"/>
        <v>43.700000000000053</v>
      </c>
      <c r="N78" s="58">
        <f t="shared" si="4"/>
        <v>12.88329519450798</v>
      </c>
    </row>
    <row r="79" spans="1:14" ht="12.75" customHeight="1" x14ac:dyDescent="0.2">
      <c r="A79" s="415" t="s">
        <v>30</v>
      </c>
      <c r="B79" s="407"/>
      <c r="C79" s="85" t="s">
        <v>61</v>
      </c>
      <c r="D79" s="266">
        <f>'SDA 2'!$B$15+'SDA 2'!$C$15</f>
        <v>0</v>
      </c>
      <c r="E79" s="16"/>
      <c r="F79" s="16"/>
      <c r="H79" s="79"/>
      <c r="J79" s="58">
        <f t="shared" si="1"/>
        <v>2.4560897945300891E-2</v>
      </c>
      <c r="K79" s="58">
        <f t="shared" si="2"/>
        <v>0.45794450521520186</v>
      </c>
      <c r="L79" s="58">
        <f t="shared" si="3"/>
        <v>1.7918267563461474</v>
      </c>
      <c r="M79" s="2">
        <f t="shared" si="6"/>
        <v>43.800000000000054</v>
      </c>
      <c r="N79" s="58">
        <f t="shared" si="4"/>
        <v>12.831050228310474</v>
      </c>
    </row>
    <row r="80" spans="1:14" ht="12.75" customHeight="1" thickBot="1" x14ac:dyDescent="0.25">
      <c r="A80" s="408"/>
      <c r="B80" s="409"/>
      <c r="C80" s="86" t="s">
        <v>8</v>
      </c>
      <c r="D80" s="184">
        <v>74</v>
      </c>
      <c r="E80" s="115"/>
      <c r="F80" s="115"/>
      <c r="H80" s="79"/>
      <c r="J80" s="58">
        <f t="shared" si="1"/>
        <v>2.553869148905746E-2</v>
      </c>
      <c r="K80" s="58">
        <f t="shared" si="2"/>
        <v>0.46277038549299465</v>
      </c>
      <c r="L80" s="58">
        <f t="shared" si="3"/>
        <v>1.8023189482324697</v>
      </c>
      <c r="M80" s="2">
        <f t="shared" si="6"/>
        <v>43.900000000000055</v>
      </c>
      <c r="N80" s="58">
        <f t="shared" si="4"/>
        <v>12.779043280182204</v>
      </c>
    </row>
    <row r="81" spans="1:14" ht="12.75" customHeight="1" x14ac:dyDescent="0.2">
      <c r="A81" s="406" t="s">
        <v>144</v>
      </c>
      <c r="B81" s="407"/>
      <c r="C81" s="85" t="s">
        <v>61</v>
      </c>
      <c r="D81" s="266">
        <f>'SDA 2'!$B$16+'SDA 2'!$B$18+'SDA 2'!$C$16+'SDA 2'!$C$18</f>
        <v>0</v>
      </c>
      <c r="E81" s="202" t="s">
        <v>7</v>
      </c>
      <c r="F81" s="203" t="s">
        <v>9</v>
      </c>
      <c r="H81" s="79"/>
      <c r="J81" s="58">
        <f t="shared" si="1"/>
        <v>2.6534238247081732E-2</v>
      </c>
      <c r="K81" s="58">
        <f t="shared" si="2"/>
        <v>0.46761415249647709</v>
      </c>
      <c r="L81" s="58">
        <f t="shared" si="3"/>
        <v>1.8128218674424681</v>
      </c>
      <c r="M81" s="2">
        <f t="shared" si="6"/>
        <v>44.000000000000057</v>
      </c>
      <c r="N81" s="58">
        <f t="shared" si="4"/>
        <v>12.727272727272698</v>
      </c>
    </row>
    <row r="82" spans="1:14" ht="12.75" customHeight="1" thickBot="1" x14ac:dyDescent="0.25">
      <c r="A82" s="408"/>
      <c r="B82" s="409"/>
      <c r="C82" s="86" t="s">
        <v>8</v>
      </c>
      <c r="D82" s="185">
        <v>98</v>
      </c>
      <c r="E82" s="183">
        <f>IF($B$10&gt;0,(D77*D78+D79*D80+D81*D82)/$B$10,0)</f>
        <v>0</v>
      </c>
      <c r="F82" s="197">
        <f>IF(E82&gt;0,1000/E82-10,1000)</f>
        <v>1000</v>
      </c>
      <c r="H82" s="79"/>
      <c r="J82" s="58">
        <f t="shared" si="1"/>
        <v>2.7547472583809813E-2</v>
      </c>
      <c r="K82" s="58">
        <f t="shared" si="2"/>
        <v>0.47247573325689257</v>
      </c>
      <c r="L82" s="58">
        <f t="shared" si="3"/>
        <v>1.8233354337063277</v>
      </c>
      <c r="M82" s="2">
        <f t="shared" si="6"/>
        <v>44.100000000000058</v>
      </c>
      <c r="N82" s="58">
        <f t="shared" si="4"/>
        <v>12.675736961451218</v>
      </c>
    </row>
    <row r="83" spans="1:14" ht="12.75" customHeight="1" x14ac:dyDescent="0.2">
      <c r="B83" s="3"/>
      <c r="F83" s="88"/>
      <c r="J83" s="58">
        <f t="shared" si="1"/>
        <v>2.8578329640408236E-2</v>
      </c>
      <c r="K83" s="58">
        <f t="shared" si="2"/>
        <v>0.47735505554530899</v>
      </c>
      <c r="L83" s="58">
        <f t="shared" si="3"/>
        <v>1.8338595674818727</v>
      </c>
      <c r="M83" s="2">
        <f t="shared" si="6"/>
        <v>44.20000000000006</v>
      </c>
      <c r="N83" s="58">
        <f t="shared" si="4"/>
        <v>12.624434389140241</v>
      </c>
    </row>
    <row r="84" spans="1:14" ht="12.75" customHeight="1" x14ac:dyDescent="0.2">
      <c r="A84" s="40"/>
      <c r="C84" s="141"/>
      <c r="D84" s="196" t="str">
        <f>$B$4</f>
        <v>2-year storm</v>
      </c>
      <c r="E84" s="196" t="str">
        <f>$C$4</f>
        <v>15-year storm</v>
      </c>
      <c r="F84" s="196" t="str">
        <f>$D$4</f>
        <v>100-year storm</v>
      </c>
      <c r="J84" s="58">
        <f t="shared" si="1"/>
        <v>2.9626745326764785E-2</v>
      </c>
      <c r="K84" s="58">
        <f t="shared" si="2"/>
        <v>0.4822520478644296</v>
      </c>
      <c r="L84" s="58">
        <f t="shared" si="3"/>
        <v>1.8443941899463532</v>
      </c>
      <c r="M84" s="2">
        <f t="shared" si="6"/>
        <v>44.300000000000061</v>
      </c>
      <c r="N84" s="58">
        <f t="shared" si="4"/>
        <v>12.573363431151211</v>
      </c>
    </row>
    <row r="85" spans="1:14" ht="12.75" customHeight="1" x14ac:dyDescent="0.2">
      <c r="A85" s="404" t="s">
        <v>213</v>
      </c>
      <c r="B85" s="404"/>
      <c r="C85" s="405"/>
      <c r="D85" s="197">
        <f>IF(B$5&gt;0.2*($F82),(B$5-0.2*($F82))^2/(B$5+0.8*($F82)),0)</f>
        <v>0</v>
      </c>
      <c r="E85" s="197">
        <f>IF(C$5&gt;0.2*($F82),(C$5-0.2*($F82))^2/(C$5+0.8*($F82)),0)</f>
        <v>0</v>
      </c>
      <c r="F85" s="197">
        <f>IF(D$5&gt;0.2*($F82),(D$5-0.2*($F82))^2/(D$5+0.8*($F82)),0)</f>
        <v>0</v>
      </c>
      <c r="J85" s="58">
        <f t="shared" si="1"/>
        <v>3.0692656313591731E-2</v>
      </c>
      <c r="K85" s="58">
        <f t="shared" si="2"/>
        <v>0.48716663944051675</v>
      </c>
      <c r="L85" s="58">
        <f t="shared" si="3"/>
        <v>1.8549392229883432</v>
      </c>
      <c r="M85" s="2">
        <f t="shared" si="6"/>
        <v>44.400000000000063</v>
      </c>
      <c r="N85" s="58">
        <f t="shared" si="4"/>
        <v>12.52252252252249</v>
      </c>
    </row>
    <row r="86" spans="1:14" ht="12.75" customHeight="1" x14ac:dyDescent="0.2">
      <c r="A86" s="404" t="s">
        <v>214</v>
      </c>
      <c r="B86" s="404"/>
      <c r="C86" s="405"/>
      <c r="D86" s="197">
        <f>IF($B$10&gt;0,D85-$C$10*12/$B$10,D85)</f>
        <v>0</v>
      </c>
      <c r="E86" s="197">
        <f>IF($B$10&gt;0,E85-$C$10*12/$B$10,E85)</f>
        <v>0</v>
      </c>
      <c r="F86" s="197">
        <f>IF($B$10&gt;0,F85-$C$10*12/$B$10,F85)</f>
        <v>0</v>
      </c>
      <c r="J86" s="58">
        <f t="shared" si="1"/>
        <v>3.1776000024638887E-2</v>
      </c>
      <c r="K86" s="58">
        <f t="shared" si="2"/>
        <v>0.49209876021542315</v>
      </c>
      <c r="L86" s="58">
        <f t="shared" si="3"/>
        <v>1.8654945891997443</v>
      </c>
      <c r="M86" s="2">
        <f t="shared" si="6"/>
        <v>44.500000000000064</v>
      </c>
      <c r="N86" s="58">
        <f t="shared" si="4"/>
        <v>12.471910112359517</v>
      </c>
    </row>
    <row r="87" spans="1:14" ht="12.75" customHeight="1" x14ac:dyDescent="0.2">
      <c r="A87" s="260"/>
      <c r="B87" s="260"/>
      <c r="C87" s="29" t="s">
        <v>28</v>
      </c>
      <c r="D87" s="198">
        <f>IF(D86&gt;0,VLOOKUP(D86,J$25:$N$639,4),0)</f>
        <v>0</v>
      </c>
      <c r="E87" s="198">
        <f>IF(E86&gt;0,VLOOKUP(E86,K$25:$N$639,3),0)</f>
        <v>0</v>
      </c>
      <c r="F87" s="198">
        <f>IF(F86&gt;0,VLOOKUP(F86,L$25:$N$639,2),0)</f>
        <v>0</v>
      </c>
      <c r="J87" s="58">
        <f t="shared" si="1"/>
        <v>3.2876714629015702E-2</v>
      </c>
      <c r="K87" s="58">
        <f t="shared" si="2"/>
        <v>0.49704834083873273</v>
      </c>
      <c r="L87" s="58">
        <f t="shared" si="3"/>
        <v>1.8760602118679071</v>
      </c>
      <c r="M87" s="2">
        <f t="shared" si="6"/>
        <v>44.600000000000065</v>
      </c>
      <c r="N87" s="58">
        <f t="shared" si="4"/>
        <v>12.421524663677097</v>
      </c>
    </row>
    <row r="88" spans="1:14" ht="12.75" customHeight="1" x14ac:dyDescent="0.2">
      <c r="J88" s="58">
        <f t="shared" si="1"/>
        <v>3.3994739033620006E-2</v>
      </c>
      <c r="K88" s="58">
        <f t="shared" si="2"/>
        <v>0.50201531266000687</v>
      </c>
      <c r="L88" s="58">
        <f t="shared" si="3"/>
        <v>1.8866360149678472</v>
      </c>
      <c r="M88" s="2">
        <f t="shared" si="6"/>
        <v>44.700000000000067</v>
      </c>
      <c r="N88" s="58">
        <f t="shared" si="4"/>
        <v>12.371364653243816</v>
      </c>
    </row>
    <row r="89" spans="1:14" ht="12.75" customHeight="1" x14ac:dyDescent="0.2">
      <c r="A89" s="421" t="s">
        <v>159</v>
      </c>
      <c r="B89" s="421"/>
      <c r="C89" s="421"/>
      <c r="D89" s="421"/>
      <c r="E89" s="421"/>
      <c r="F89" s="421"/>
      <c r="J89" s="58">
        <f t="shared" ref="J89:J152" si="9">IF(B$5&gt;0.2*($N89),(B$5-0.2*($N89))^2/(B$5+0.8*($N89)),0)</f>
        <v>3.5130012875672023E-2</v>
      </c>
      <c r="K89" s="58">
        <f t="shared" ref="K89:K152" si="10">IF(C$5&gt;0.2*($N89),(C$5-0.2*($N89))^2/(C$5+0.8*($N89)),0)</f>
        <v>0.50699960772113373</v>
      </c>
      <c r="L89" s="58">
        <f t="shared" ref="L89:L152" si="11">IF(D$5&gt;0.2*($N89),(D$5-0.2*($N89))^2/(D$5+0.8*($N89)),0)</f>
        <v>1.8972219231545726</v>
      </c>
      <c r="M89" s="2">
        <f t="shared" si="6"/>
        <v>44.800000000000068</v>
      </c>
      <c r="N89" s="58">
        <f t="shared" si="4"/>
        <v>12.321428571428537</v>
      </c>
    </row>
    <row r="90" spans="1:14" ht="12.75" customHeight="1" thickBot="1" x14ac:dyDescent="0.25">
      <c r="A90" s="416" t="s">
        <v>211</v>
      </c>
      <c r="B90" s="417"/>
      <c r="C90" s="263"/>
      <c r="D90" s="263" t="s">
        <v>27</v>
      </c>
      <c r="E90" s="51"/>
      <c r="F90" s="51"/>
      <c r="J90" s="58">
        <f t="shared" si="9"/>
        <v>3.6282476515351603E-2</v>
      </c>
      <c r="K90" s="58">
        <f t="shared" si="10"/>
        <v>0.51200115874878027</v>
      </c>
      <c r="L90" s="58">
        <f t="shared" si="11"/>
        <v>1.9078178617555073</v>
      </c>
      <c r="M90" s="2">
        <f>M89+0.1</f>
        <v>44.90000000000007</v>
      </c>
      <c r="N90" s="58">
        <f t="shared" si="4"/>
        <v>12.271714922048965</v>
      </c>
    </row>
    <row r="91" spans="1:14" ht="12.75" customHeight="1" x14ac:dyDescent="0.2">
      <c r="A91" s="415" t="s">
        <v>24</v>
      </c>
      <c r="B91" s="407"/>
      <c r="C91" s="85" t="s">
        <v>61</v>
      </c>
      <c r="D91" s="266">
        <f>'SDA 3'!$B$6</f>
        <v>0</v>
      </c>
      <c r="E91" s="16"/>
      <c r="F91" s="16"/>
      <c r="J91" s="58">
        <f t="shared" si="9"/>
        <v>3.7452071028538404E-2</v>
      </c>
      <c r="K91" s="58">
        <f t="shared" si="10"/>
        <v>0.51701989914694801</v>
      </c>
      <c r="L91" s="58">
        <f t="shared" si="11"/>
        <v>1.9184237567630256</v>
      </c>
      <c r="M91" s="2">
        <f t="shared" si="6"/>
        <v>45.000000000000071</v>
      </c>
      <c r="N91" s="58">
        <f t="shared" si="4"/>
        <v>12.222222222222186</v>
      </c>
    </row>
    <row r="92" spans="1:14" ht="12.75" customHeight="1" thickBot="1" x14ac:dyDescent="0.25">
      <c r="A92" s="408"/>
      <c r="B92" s="409"/>
      <c r="C92" s="86" t="s">
        <v>8</v>
      </c>
      <c r="D92" s="184">
        <v>70</v>
      </c>
      <c r="E92" s="115"/>
      <c r="F92" s="115"/>
      <c r="J92" s="58">
        <f t="shared" si="9"/>
        <v>3.8638738199651364E-2</v>
      </c>
      <c r="K92" s="58">
        <f t="shared" si="10"/>
        <v>0.52205576298962386</v>
      </c>
      <c r="L92" s="58">
        <f t="shared" si="11"/>
        <v>1.9290395348270746</v>
      </c>
      <c r="M92" s="2">
        <f t="shared" si="6"/>
        <v>45.100000000000072</v>
      </c>
      <c r="N92" s="58">
        <f t="shared" si="4"/>
        <v>12.172949002217258</v>
      </c>
    </row>
    <row r="93" spans="1:14" ht="12.75" customHeight="1" x14ac:dyDescent="0.2">
      <c r="A93" s="415" t="s">
        <v>30</v>
      </c>
      <c r="B93" s="407"/>
      <c r="C93" s="85" t="s">
        <v>61</v>
      </c>
      <c r="D93" s="266">
        <f>'SDA 3'!$B$7</f>
        <v>0</v>
      </c>
      <c r="E93" s="16"/>
      <c r="F93" s="16"/>
      <c r="J93" s="58">
        <f t="shared" si="9"/>
        <v>3.9842420514588105E-2</v>
      </c>
      <c r="K93" s="58">
        <f t="shared" si="10"/>
        <v>0.52710868501353281</v>
      </c>
      <c r="L93" s="58">
        <f t="shared" si="11"/>
        <v>1.9396651232479021</v>
      </c>
      <c r="M93" s="2">
        <f t="shared" si="6"/>
        <v>45.200000000000074</v>
      </c>
      <c r="N93" s="58">
        <f t="shared" si="4"/>
        <v>12.123893805309699</v>
      </c>
    </row>
    <row r="94" spans="1:14" ht="12.75" customHeight="1" thickBot="1" x14ac:dyDescent="0.25">
      <c r="A94" s="408"/>
      <c r="B94" s="409"/>
      <c r="C94" s="86" t="s">
        <v>8</v>
      </c>
      <c r="D94" s="184">
        <v>74</v>
      </c>
      <c r="E94" s="115"/>
      <c r="F94" s="115"/>
      <c r="J94" s="58">
        <f t="shared" si="9"/>
        <v>4.106306115376137E-2</v>
      </c>
      <c r="K94" s="58">
        <f t="shared" si="10"/>
        <v>0.53217860061098565</v>
      </c>
      <c r="L94" s="58">
        <f t="shared" si="11"/>
        <v>1.9503004499688807</v>
      </c>
      <c r="M94" s="2">
        <f t="shared" si="6"/>
        <v>45.300000000000075</v>
      </c>
      <c r="N94" s="58">
        <f t="shared" si="4"/>
        <v>12.075055187637933</v>
      </c>
    </row>
    <row r="95" spans="1:14" ht="12.75" customHeight="1" x14ac:dyDescent="0.2">
      <c r="A95" s="406" t="s">
        <v>144</v>
      </c>
      <c r="B95" s="407"/>
      <c r="C95" s="85" t="s">
        <v>61</v>
      </c>
      <c r="D95" s="266">
        <f>'SDA 3'!$B$8+'SDA 3'!$B$9</f>
        <v>0</v>
      </c>
      <c r="E95" s="202" t="s">
        <v>7</v>
      </c>
      <c r="F95" s="203" t="s">
        <v>9</v>
      </c>
      <c r="J95" s="58">
        <f t="shared" si="9"/>
        <v>4.2300603985231E-2</v>
      </c>
      <c r="K95" s="58">
        <f t="shared" si="10"/>
        <v>0.53726544582281965</v>
      </c>
      <c r="L95" s="58">
        <f t="shared" si="11"/>
        <v>1.9609454435694196</v>
      </c>
      <c r="M95" s="2">
        <f t="shared" si="6"/>
        <v>45.400000000000077</v>
      </c>
      <c r="N95" s="58">
        <f t="shared" si="4"/>
        <v>12.026431718061637</v>
      </c>
    </row>
    <row r="96" spans="1:14" ht="12.75" customHeight="1" thickBot="1" x14ac:dyDescent="0.25">
      <c r="A96" s="408"/>
      <c r="B96" s="409"/>
      <c r="C96" s="86" t="s">
        <v>8</v>
      </c>
      <c r="D96" s="185">
        <v>98</v>
      </c>
      <c r="E96" s="183">
        <f>IF($B$11&gt;0,(D91*D92+D93*D94+D95*D96)/$B$11,0)</f>
        <v>0</v>
      </c>
      <c r="F96" s="197">
        <f>IF(E96&gt;0,1000/E96-10,1000)</f>
        <v>1000</v>
      </c>
      <c r="J96" s="58">
        <f t="shared" si="9"/>
        <v>4.3554993557931326E-2</v>
      </c>
      <c r="K96" s="58">
        <f t="shared" si="10"/>
        <v>0.54236915733143698</v>
      </c>
      <c r="L96" s="58">
        <f t="shared" si="11"/>
        <v>1.9716000332579813</v>
      </c>
      <c r="M96" s="2">
        <f t="shared" si="6"/>
        <v>45.500000000000078</v>
      </c>
      <c r="N96" s="58">
        <f t="shared" si="4"/>
        <v>11.978021978021939</v>
      </c>
    </row>
    <row r="97" spans="1:14" ht="12.75" customHeight="1" x14ac:dyDescent="0.2">
      <c r="A97" s="38"/>
      <c r="B97" s="28"/>
      <c r="F97" s="88"/>
      <c r="J97" s="58">
        <f t="shared" si="9"/>
        <v>4.4826175094990379E-2</v>
      </c>
      <c r="K97" s="58">
        <f t="shared" si="10"/>
        <v>0.54748967245392977</v>
      </c>
      <c r="L97" s="58">
        <f t="shared" si="11"/>
        <v>1.9822641488651764</v>
      </c>
      <c r="M97" s="2">
        <f t="shared" si="6"/>
        <v>45.60000000000008</v>
      </c>
      <c r="N97" s="58">
        <f t="shared" si="4"/>
        <v>11.929824561403471</v>
      </c>
    </row>
    <row r="98" spans="1:14" ht="12.75" customHeight="1" thickBot="1" x14ac:dyDescent="0.25">
      <c r="A98" s="413" t="s">
        <v>212</v>
      </c>
      <c r="B98" s="414"/>
      <c r="C98" s="264"/>
      <c r="D98" s="268" t="s">
        <v>27</v>
      </c>
      <c r="E98" s="51"/>
      <c r="F98" s="51"/>
      <c r="J98" s="58">
        <f t="shared" si="9"/>
        <v>4.6114094487142376E-2</v>
      </c>
      <c r="K98" s="58">
        <f t="shared" si="10"/>
        <v>0.55262692913530209</v>
      </c>
      <c r="L98" s="58">
        <f t="shared" si="11"/>
        <v>1.9929377208369654</v>
      </c>
      <c r="M98" s="2">
        <f t="shared" si="6"/>
        <v>45.700000000000081</v>
      </c>
      <c r="N98" s="58">
        <f t="shared" si="4"/>
        <v>11.88183807439821</v>
      </c>
    </row>
    <row r="99" spans="1:14" ht="12.75" customHeight="1" x14ac:dyDescent="0.2">
      <c r="A99" s="415" t="s">
        <v>24</v>
      </c>
      <c r="B99" s="407"/>
      <c r="C99" s="85" t="s">
        <v>61</v>
      </c>
      <c r="D99" s="265">
        <f>'SDA 3'!$B$14+'SDA 3'!$C$14</f>
        <v>0</v>
      </c>
      <c r="E99" s="16"/>
      <c r="F99" s="16"/>
      <c r="J99" s="58">
        <f t="shared" si="9"/>
        <v>4.7418698286228501E-2</v>
      </c>
      <c r="K99" s="58">
        <f t="shared" si="10"/>
        <v>0.5577808659417739</v>
      </c>
      <c r="L99" s="58">
        <f t="shared" si="11"/>
        <v>2.0036206802279311</v>
      </c>
      <c r="M99" s="2">
        <f t="shared" si="6"/>
        <v>45.800000000000082</v>
      </c>
      <c r="N99" s="58">
        <f t="shared" si="4"/>
        <v>11.83406113537114</v>
      </c>
    </row>
    <row r="100" spans="1:14" ht="12.75" customHeight="1" thickBot="1" x14ac:dyDescent="0.25">
      <c r="A100" s="408"/>
      <c r="B100" s="409"/>
      <c r="C100" s="86" t="s">
        <v>8</v>
      </c>
      <c r="D100" s="184">
        <v>70</v>
      </c>
      <c r="E100" s="115"/>
      <c r="F100" s="115"/>
      <c r="J100" s="58">
        <f t="shared" si="9"/>
        <v>4.8739933698788721E-2</v>
      </c>
      <c r="K100" s="58">
        <f t="shared" si="10"/>
        <v>0.56295142205418036</v>
      </c>
      <c r="L100" s="58">
        <f t="shared" si="11"/>
        <v>2.014312958694656</v>
      </c>
      <c r="M100" s="2">
        <f t="shared" si="6"/>
        <v>45.900000000000084</v>
      </c>
      <c r="N100" s="58">
        <f t="shared" si="4"/>
        <v>11.786492374727629</v>
      </c>
    </row>
    <row r="101" spans="1:14" ht="12.75" customHeight="1" x14ac:dyDescent="0.2">
      <c r="A101" s="415" t="s">
        <v>30</v>
      </c>
      <c r="B101" s="407"/>
      <c r="C101" s="85" t="s">
        <v>61</v>
      </c>
      <c r="D101" s="266">
        <f>'SDA 3'!$B$15+'SDA 3'!$C$15</f>
        <v>0</v>
      </c>
      <c r="E101" s="16"/>
      <c r="F101" s="16"/>
      <c r="H101" s="81"/>
      <c r="J101" s="58">
        <f t="shared" si="9"/>
        <v>5.0077748579739491E-2</v>
      </c>
      <c r="K101" s="58">
        <f t="shared" si="10"/>
        <v>0.56813853726145225</v>
      </c>
      <c r="L101" s="58">
        <f t="shared" si="11"/>
        <v>2.0250144884891768</v>
      </c>
      <c r="M101" s="2">
        <f t="shared" si="6"/>
        <v>46.000000000000085</v>
      </c>
      <c r="N101" s="58">
        <f t="shared" si="4"/>
        <v>11.739130434782567</v>
      </c>
    </row>
    <row r="102" spans="1:14" ht="12.75" customHeight="1" thickBot="1" x14ac:dyDescent="0.25">
      <c r="A102" s="408"/>
      <c r="B102" s="409"/>
      <c r="C102" s="86" t="s">
        <v>8</v>
      </c>
      <c r="D102" s="184">
        <v>74</v>
      </c>
      <c r="E102" s="115"/>
      <c r="F102" s="115"/>
      <c r="H102" s="79"/>
      <c r="J102" s="58">
        <f t="shared" si="9"/>
        <v>5.1432091426138464E-2</v>
      </c>
      <c r="K102" s="58">
        <f t="shared" si="10"/>
        <v>0.57334215195418226</v>
      </c>
      <c r="L102" s="58">
        <f t="shared" si="11"/>
        <v>2.0357252024525203</v>
      </c>
      <c r="M102" s="2">
        <f t="shared" si="6"/>
        <v>46.100000000000087</v>
      </c>
      <c r="N102" s="58">
        <f t="shared" si="4"/>
        <v>11.691973969631196</v>
      </c>
    </row>
    <row r="103" spans="1:14" ht="12.75" customHeight="1" x14ac:dyDescent="0.2">
      <c r="A103" s="406" t="s">
        <v>144</v>
      </c>
      <c r="B103" s="407"/>
      <c r="C103" s="85" t="s">
        <v>61</v>
      </c>
      <c r="D103" s="266">
        <f>'SDA 3'!$B$16+'SDA 3'!$B$18+'SDA 3'!$C$16+'SDA 3'!$C$18</f>
        <v>0</v>
      </c>
      <c r="E103" s="202" t="s">
        <v>7</v>
      </c>
      <c r="F103" s="203" t="s">
        <v>9</v>
      </c>
      <c r="H103" s="79"/>
      <c r="J103" s="58">
        <f t="shared" si="9"/>
        <v>5.2802911371034517E-2</v>
      </c>
      <c r="K103" s="58">
        <f t="shared" si="10"/>
        <v>0.57856220711827955</v>
      </c>
      <c r="L103" s="58">
        <f t="shared" si="11"/>
        <v>2.0464450340083378</v>
      </c>
      <c r="M103" s="2">
        <f t="shared" si="6"/>
        <v>46.200000000000088</v>
      </c>
      <c r="N103" s="58">
        <f t="shared" si="4"/>
        <v>11.645021645021604</v>
      </c>
    </row>
    <row r="104" spans="1:14" ht="13.5" thickBot="1" x14ac:dyDescent="0.25">
      <c r="A104" s="408"/>
      <c r="B104" s="409"/>
      <c r="C104" s="86" t="s">
        <v>8</v>
      </c>
      <c r="D104" s="185">
        <v>98</v>
      </c>
      <c r="E104" s="183">
        <f>IF($B$11&gt;0,(D99*D100+D101*D102+D103*D104)/$B$11,0)</f>
        <v>0</v>
      </c>
      <c r="F104" s="197">
        <f>IF(E104&gt;0,1000/E104-10,1000)</f>
        <v>1000</v>
      </c>
      <c r="H104" s="79"/>
      <c r="J104" s="58">
        <f t="shared" si="9"/>
        <v>5.4190158177401013E-2</v>
      </c>
      <c r="K104" s="58">
        <f t="shared" si="10"/>
        <v>0.58379864432870154</v>
      </c>
      <c r="L104" s="58">
        <f t="shared" si="11"/>
        <v>2.0571739171566077</v>
      </c>
      <c r="M104" s="2">
        <f t="shared" si="6"/>
        <v>46.30000000000009</v>
      </c>
      <c r="N104" s="58">
        <f t="shared" si="4"/>
        <v>11.5982721382289</v>
      </c>
    </row>
    <row r="105" spans="1:14" ht="12.75" customHeight="1" x14ac:dyDescent="0.2">
      <c r="B105" s="3"/>
      <c r="F105" s="88"/>
      <c r="H105" s="2"/>
      <c r="J105" s="58">
        <f t="shared" si="9"/>
        <v>5.5593782232151466E-2</v>
      </c>
      <c r="K105" s="58">
        <f t="shared" si="10"/>
        <v>0.58905140574326931</v>
      </c>
      <c r="L105" s="58">
        <f t="shared" si="11"/>
        <v>2.0679117864674237</v>
      </c>
      <c r="M105" s="2">
        <f t="shared" si="6"/>
        <v>46.400000000000091</v>
      </c>
      <c r="N105" s="58">
        <f t="shared" ref="N105:N168" si="12">IF(M105&gt;0,1000/M105-10,1000)</f>
        <v>11.551724137930993</v>
      </c>
    </row>
    <row r="106" spans="1:14" ht="12.75" customHeight="1" x14ac:dyDescent="0.2">
      <c r="A106" s="40"/>
      <c r="C106" s="141"/>
      <c r="D106" s="196" t="str">
        <f>$B$4</f>
        <v>2-year storm</v>
      </c>
      <c r="E106" s="196" t="str">
        <f>$C$4</f>
        <v>15-year storm</v>
      </c>
      <c r="F106" s="196" t="str">
        <f>$D$4</f>
        <v>100-year storm</v>
      </c>
      <c r="H106" s="2"/>
      <c r="J106" s="58">
        <f t="shared" si="9"/>
        <v>5.7013734540237344E-2</v>
      </c>
      <c r="K106" s="58">
        <f t="shared" si="10"/>
        <v>0.59432043409656554</v>
      </c>
      <c r="L106" s="58">
        <f t="shared" si="11"/>
        <v>2.0786585770748696</v>
      </c>
      <c r="M106" s="2">
        <f t="shared" si="6"/>
        <v>46.500000000000092</v>
      </c>
      <c r="N106" s="58">
        <f t="shared" si="12"/>
        <v>11.505376344085978</v>
      </c>
    </row>
    <row r="107" spans="1:14" ht="12.75" customHeight="1" x14ac:dyDescent="0.2">
      <c r="A107" s="404" t="s">
        <v>213</v>
      </c>
      <c r="B107" s="404"/>
      <c r="C107" s="405"/>
      <c r="D107" s="197">
        <f>IF(B$5&gt;0.2*($F104),(B$5-0.2*($F104))^2/(B$5+0.8*($F104)),0)</f>
        <v>0</v>
      </c>
      <c r="E107" s="197">
        <f>IF(C$5&gt;0.2*($F104),(C$5-0.2*($F104))^2/(C$5+0.8*($F104)),0)</f>
        <v>0</v>
      </c>
      <c r="F107" s="197">
        <f>IF(D$5&gt;0.2*($F104),(D$5-0.2*($F104))^2/(D$5+0.8*($F104)),0)</f>
        <v>0</v>
      </c>
      <c r="H107" s="2"/>
      <c r="J107" s="58">
        <f t="shared" si="9"/>
        <v>5.8449966718824582E-2</v>
      </c>
      <c r="K107" s="58">
        <f t="shared" si="10"/>
        <v>0.59960567269390563</v>
      </c>
      <c r="L107" s="58">
        <f t="shared" si="11"/>
        <v>2.0894142246709597</v>
      </c>
      <c r="M107" s="2">
        <f t="shared" si="6"/>
        <v>46.600000000000094</v>
      </c>
      <c r="N107" s="58">
        <f t="shared" si="12"/>
        <v>11.459227467811115</v>
      </c>
    </row>
    <row r="108" spans="1:14" ht="12.75" customHeight="1" x14ac:dyDescent="0.2">
      <c r="A108" s="404" t="s">
        <v>214</v>
      </c>
      <c r="B108" s="404"/>
      <c r="C108" s="405"/>
      <c r="D108" s="197">
        <f>IF($B$11&gt;0,D107-$C$11*12/$B$11,D107)</f>
        <v>0</v>
      </c>
      <c r="E108" s="197">
        <f>IF($B$11&gt;0,E107-$C$11*12/$B$11,E107)</f>
        <v>0</v>
      </c>
      <c r="F108" s="197">
        <f>IF($B$11&gt;0,F107-$C$11*12/$B$11,F107)</f>
        <v>0</v>
      </c>
      <c r="H108" s="2"/>
      <c r="J108" s="58">
        <f t="shared" si="9"/>
        <v>5.9902430991550577E-2</v>
      </c>
      <c r="K108" s="58">
        <f t="shared" si="10"/>
        <v>0.60490706540539418</v>
      </c>
      <c r="L108" s="58">
        <f t="shared" si="11"/>
        <v>2.100178665499675</v>
      </c>
      <c r="M108" s="2">
        <f t="shared" si="6"/>
        <v>46.700000000000095</v>
      </c>
      <c r="N108" s="58">
        <f t="shared" si="12"/>
        <v>11.413276231263339</v>
      </c>
    </row>
    <row r="109" spans="1:14" ht="12.75" customHeight="1" x14ac:dyDescent="0.2">
      <c r="A109" s="260"/>
      <c r="B109" s="260"/>
      <c r="C109" s="29" t="s">
        <v>28</v>
      </c>
      <c r="D109" s="198">
        <f>IF(D108&gt;0,VLOOKUP(D108,J$25:$N$639,4),0)</f>
        <v>0</v>
      </c>
      <c r="E109" s="198">
        <f>IF(E108&gt;0,VLOOKUP(E108,K$25:$N$639,3),0)</f>
        <v>0</v>
      </c>
      <c r="F109" s="198">
        <f>IF(F108&gt;0,VLOOKUP(F108,L$25:$N$639,2),0)</f>
        <v>0</v>
      </c>
      <c r="H109" s="2"/>
      <c r="J109" s="58">
        <f t="shared" si="9"/>
        <v>6.1371080182857619E-2</v>
      </c>
      <c r="K109" s="58">
        <f t="shared" si="10"/>
        <v>0.61022455666005049</v>
      </c>
      <c r="L109" s="58">
        <f t="shared" si="11"/>
        <v>2.1109518363510555</v>
      </c>
      <c r="M109" s="2">
        <f t="shared" si="6"/>
        <v>46.800000000000097</v>
      </c>
      <c r="N109" s="58">
        <f t="shared" si="12"/>
        <v>11.367521367521324</v>
      </c>
    </row>
    <row r="110" spans="1:14" ht="12.75" customHeight="1" x14ac:dyDescent="0.2">
      <c r="H110" s="2"/>
      <c r="J110" s="58">
        <f t="shared" si="9"/>
        <v>6.2855867712404034E-2</v>
      </c>
      <c r="K110" s="58">
        <f t="shared" si="10"/>
        <v>0.61555809144001716</v>
      </c>
      <c r="L110" s="58">
        <f t="shared" si="11"/>
        <v>2.1217336745553892</v>
      </c>
      <c r="M110" s="2">
        <f t="shared" si="6"/>
        <v>46.900000000000098</v>
      </c>
      <c r="N110" s="58">
        <f t="shared" si="12"/>
        <v>11.32196162046904</v>
      </c>
    </row>
    <row r="111" spans="1:14" ht="12.75" customHeight="1" x14ac:dyDescent="0.2">
      <c r="A111" s="421" t="s">
        <v>160</v>
      </c>
      <c r="B111" s="421"/>
      <c r="C111" s="421"/>
      <c r="D111" s="421"/>
      <c r="E111" s="421"/>
      <c r="F111" s="421"/>
      <c r="H111" s="2"/>
      <c r="J111" s="58">
        <f t="shared" si="9"/>
        <v>6.4356747589549929E-2</v>
      </c>
      <c r="K111" s="58">
        <f t="shared" si="10"/>
        <v>0.62090761527483596</v>
      </c>
      <c r="L111" s="58">
        <f t="shared" si="11"/>
        <v>2.1325241179774541</v>
      </c>
      <c r="M111" s="2">
        <f t="shared" si="6"/>
        <v>47.000000000000099</v>
      </c>
      <c r="N111" s="58">
        <f t="shared" si="12"/>
        <v>11.276595744680805</v>
      </c>
    </row>
    <row r="112" spans="1:14" ht="12.75" customHeight="1" thickBot="1" x14ac:dyDescent="0.25">
      <c r="A112" s="416" t="s">
        <v>211</v>
      </c>
      <c r="B112" s="417"/>
      <c r="C112" s="263"/>
      <c r="D112" s="263" t="s">
        <v>27</v>
      </c>
      <c r="E112" s="51"/>
      <c r="F112" s="51"/>
      <c r="H112" s="2"/>
      <c r="J112" s="58">
        <f t="shared" si="9"/>
        <v>6.5873674407917179E-2</v>
      </c>
      <c r="K112" s="58">
        <f t="shared" si="10"/>
        <v>0.62627307423579981</v>
      </c>
      <c r="L112" s="58">
        <f t="shared" si="11"/>
        <v>2.1433231050108481</v>
      </c>
      <c r="M112" s="2">
        <f t="shared" si="6"/>
        <v>47.100000000000101</v>
      </c>
      <c r="N112" s="58">
        <f t="shared" si="12"/>
        <v>11.231422505307812</v>
      </c>
    </row>
    <row r="113" spans="1:14" x14ac:dyDescent="0.2">
      <c r="A113" s="415" t="s">
        <v>24</v>
      </c>
      <c r="B113" s="407"/>
      <c r="C113" s="85" t="s">
        <v>61</v>
      </c>
      <c r="D113" s="266">
        <f>'SDA 4'!$B$6</f>
        <v>0</v>
      </c>
      <c r="E113" s="16"/>
      <c r="F113" s="16"/>
      <c r="H113" s="7"/>
      <c r="J113" s="58">
        <f t="shared" si="9"/>
        <v>6.7406603340025045E-2</v>
      </c>
      <c r="K113" s="58">
        <f t="shared" si="10"/>
        <v>0.63165441493038232</v>
      </c>
      <c r="L113" s="58">
        <f t="shared" si="11"/>
        <v>2.1541305745723944</v>
      </c>
      <c r="M113" s="2">
        <f t="shared" ref="M113:M176" si="13">M112+0.1</f>
        <v>47.200000000000102</v>
      </c>
      <c r="N113" s="58">
        <f t="shared" si="12"/>
        <v>11.186440677966054</v>
      </c>
    </row>
    <row r="114" spans="1:14" ht="12.75" customHeight="1" thickBot="1" x14ac:dyDescent="0.25">
      <c r="A114" s="408"/>
      <c r="B114" s="409"/>
      <c r="C114" s="86" t="s">
        <v>8</v>
      </c>
      <c r="D114" s="184">
        <v>70</v>
      </c>
      <c r="E114" s="115"/>
      <c r="F114" s="115"/>
      <c r="H114" s="7"/>
      <c r="J114" s="58">
        <f t="shared" si="9"/>
        <v>6.8955490131993868E-2</v>
      </c>
      <c r="K114" s="58">
        <f t="shared" si="10"/>
        <v>0.63705158449672628</v>
      </c>
      <c r="L114" s="58">
        <f t="shared" si="11"/>
        <v>2.1649464660965938</v>
      </c>
      <c r="M114" s="2">
        <f t="shared" si="13"/>
        <v>47.300000000000104</v>
      </c>
      <c r="N114" s="58">
        <f t="shared" si="12"/>
        <v>11.141649048625748</v>
      </c>
    </row>
    <row r="115" spans="1:14" ht="12.75" customHeight="1" x14ac:dyDescent="0.2">
      <c r="A115" s="415" t="s">
        <v>30</v>
      </c>
      <c r="B115" s="407"/>
      <c r="C115" s="85" t="s">
        <v>61</v>
      </c>
      <c r="D115" s="266">
        <f>'SDA 4'!$B$7</f>
        <v>0</v>
      </c>
      <c r="E115" s="16"/>
      <c r="F115" s="16"/>
      <c r="H115" s="7"/>
      <c r="J115" s="58">
        <f t="shared" si="9"/>
        <v>7.0520291098324778E-2</v>
      </c>
      <c r="K115" s="58">
        <f t="shared" si="10"/>
        <v>0.64246453059821607</v>
      </c>
      <c r="L115" s="58">
        <f t="shared" si="11"/>
        <v>2.1757707195301812</v>
      </c>
      <c r="M115" s="2">
        <f t="shared" si="13"/>
        <v>47.400000000000105</v>
      </c>
      <c r="N115" s="58">
        <f t="shared" si="12"/>
        <v>11.097046413502063</v>
      </c>
    </row>
    <row r="116" spans="1:14" ht="16.5" customHeight="1" thickBot="1" x14ac:dyDescent="0.25">
      <c r="A116" s="408"/>
      <c r="B116" s="409"/>
      <c r="C116" s="86" t="s">
        <v>8</v>
      </c>
      <c r="D116" s="184">
        <v>74</v>
      </c>
      <c r="E116" s="115"/>
      <c r="F116" s="115"/>
      <c r="H116" s="7"/>
      <c r="J116" s="58">
        <f t="shared" si="9"/>
        <v>7.2100963116745534E-2</v>
      </c>
      <c r="K116" s="58">
        <f t="shared" si="10"/>
        <v>0.64789320141810791</v>
      </c>
      <c r="L116" s="58">
        <f t="shared" si="11"/>
        <v>2.1866032753267222</v>
      </c>
      <c r="M116" s="2">
        <f t="shared" si="13"/>
        <v>47.500000000000107</v>
      </c>
      <c r="N116" s="58">
        <f t="shared" si="12"/>
        <v>11.05263157894732</v>
      </c>
    </row>
    <row r="117" spans="1:14" ht="13.35" customHeight="1" x14ac:dyDescent="0.2">
      <c r="A117" s="406" t="s">
        <v>144</v>
      </c>
      <c r="B117" s="407"/>
      <c r="C117" s="85" t="s">
        <v>61</v>
      </c>
      <c r="D117" s="266">
        <f>'SDA 4'!$B$8+'SDA 4'!$B$9</f>
        <v>0</v>
      </c>
      <c r="E117" s="202" t="s">
        <v>7</v>
      </c>
      <c r="F117" s="203" t="s">
        <v>9</v>
      </c>
      <c r="H117" s="7"/>
      <c r="J117" s="58">
        <f t="shared" si="9"/>
        <v>7.3697463623128012E-2</v>
      </c>
      <c r="K117" s="58">
        <f t="shared" si="10"/>
        <v>0.65333754565423441</v>
      </c>
      <c r="L117" s="58">
        <f t="shared" si="11"/>
        <v>2.1974440744412913</v>
      </c>
      <c r="M117" s="2">
        <f t="shared" si="13"/>
        <v>47.600000000000108</v>
      </c>
      <c r="N117" s="58">
        <f t="shared" si="12"/>
        <v>11.008403361344492</v>
      </c>
    </row>
    <row r="118" spans="1:14" ht="12.75" customHeight="1" thickBot="1" x14ac:dyDescent="0.25">
      <c r="A118" s="408"/>
      <c r="B118" s="409"/>
      <c r="C118" s="86" t="s">
        <v>8</v>
      </c>
      <c r="D118" s="185">
        <v>98</v>
      </c>
      <c r="E118" s="183">
        <f>IF($B$12&gt;0,(D113*D114+D115*D116+D117*D118)/$B$12,0)</f>
        <v>0</v>
      </c>
      <c r="F118" s="197">
        <f>IF(E118&gt;0,1000/E118-10,1000)</f>
        <v>1000</v>
      </c>
      <c r="H118" s="7"/>
      <c r="J118" s="58">
        <f t="shared" si="9"/>
        <v>7.5309750606473436E-2</v>
      </c>
      <c r="K118" s="58">
        <f t="shared" si="10"/>
        <v>0.65879751251377572</v>
      </c>
      <c r="L118" s="58">
        <f t="shared" si="11"/>
        <v>2.2082930583252187</v>
      </c>
      <c r="M118" s="2">
        <f t="shared" si="13"/>
        <v>47.700000000000109</v>
      </c>
      <c r="N118" s="58">
        <f t="shared" si="12"/>
        <v>10.964360587002048</v>
      </c>
    </row>
    <row r="119" spans="1:14" x14ac:dyDescent="0.2">
      <c r="A119" s="38"/>
      <c r="B119" s="28"/>
      <c r="F119" s="88"/>
      <c r="H119" s="7"/>
      <c r="J119" s="58">
        <f t="shared" si="9"/>
        <v>7.693778260396375E-2</v>
      </c>
      <c r="K119" s="58">
        <f t="shared" si="10"/>
        <v>0.6642730517080927</v>
      </c>
      <c r="L119" s="58">
        <f t="shared" si="11"/>
        <v>2.2191501689208941</v>
      </c>
      <c r="M119" s="2">
        <f t="shared" si="13"/>
        <v>47.800000000000111</v>
      </c>
      <c r="N119" s="58">
        <f t="shared" si="12"/>
        <v>10.92050209205016</v>
      </c>
    </row>
    <row r="120" spans="1:14" ht="13.5" thickBot="1" x14ac:dyDescent="0.25">
      <c r="A120" s="413" t="s">
        <v>212</v>
      </c>
      <c r="B120" s="414"/>
      <c r="C120" s="267"/>
      <c r="D120" s="268" t="s">
        <v>27</v>
      </c>
      <c r="E120" s="51"/>
      <c r="F120" s="51"/>
      <c r="H120" s="7"/>
      <c r="J120" s="58">
        <f t="shared" si="9"/>
        <v>7.8581518696080876E-2</v>
      </c>
      <c r="K120" s="58">
        <f t="shared" si="10"/>
        <v>0.66976411344763054</v>
      </c>
      <c r="L120" s="58">
        <f t="shared" si="11"/>
        <v>2.2300153486566452</v>
      </c>
      <c r="M120" s="2">
        <f t="shared" si="13"/>
        <v>47.900000000000112</v>
      </c>
      <c r="N120" s="58">
        <f t="shared" si="12"/>
        <v>10.876826722338155</v>
      </c>
    </row>
    <row r="121" spans="1:14" x14ac:dyDescent="0.2">
      <c r="A121" s="415" t="s">
        <v>24</v>
      </c>
      <c r="B121" s="407"/>
      <c r="C121" s="85" t="s">
        <v>61</v>
      </c>
      <c r="D121" s="265">
        <f>'SDA 4'!$B$14+'SDA 4'!$C$14</f>
        <v>0</v>
      </c>
      <c r="E121" s="16"/>
      <c r="F121" s="16"/>
      <c r="H121" s="7"/>
      <c r="J121" s="58">
        <f t="shared" si="9"/>
        <v>8.0240918501789993E-2</v>
      </c>
      <c r="K121" s="58">
        <f t="shared" si="10"/>
        <v>0.67527064843688178</v>
      </c>
      <c r="L121" s="58">
        <f t="shared" si="11"/>
        <v>2.2408885404416692</v>
      </c>
      <c r="M121" s="2">
        <f t="shared" si="13"/>
        <v>48.000000000000114</v>
      </c>
      <c r="N121" s="58">
        <f t="shared" si="12"/>
        <v>10.833333333333282</v>
      </c>
    </row>
    <row r="122" spans="1:14" ht="12.75" customHeight="1" thickBot="1" x14ac:dyDescent="0.25">
      <c r="A122" s="408"/>
      <c r="B122" s="409"/>
      <c r="C122" s="86" t="s">
        <v>8</v>
      </c>
      <c r="D122" s="184">
        <v>70</v>
      </c>
      <c r="E122" s="115"/>
      <c r="F122" s="115"/>
      <c r="H122" s="7"/>
      <c r="J122" s="58">
        <f t="shared" si="9"/>
        <v>8.1915942173788073E-2</v>
      </c>
      <c r="K122" s="58">
        <f t="shared" si="10"/>
        <v>0.68079260786941687</v>
      </c>
      <c r="L122" s="58">
        <f t="shared" si="11"/>
        <v>2.2517696876610414</v>
      </c>
      <c r="M122" s="2">
        <f t="shared" si="13"/>
        <v>48.100000000000115</v>
      </c>
      <c r="N122" s="58">
        <f t="shared" si="12"/>
        <v>10.790020790020741</v>
      </c>
    </row>
    <row r="123" spans="1:14" ht="12.75" customHeight="1" x14ac:dyDescent="0.2">
      <c r="A123" s="415" t="s">
        <v>30</v>
      </c>
      <c r="B123" s="407"/>
      <c r="C123" s="85" t="s">
        <v>61</v>
      </c>
      <c r="D123" s="266">
        <f>'SDA 4'!$B$15+'SDA 4'!$C$15</f>
        <v>0</v>
      </c>
      <c r="E123" s="16"/>
      <c r="F123" s="16"/>
      <c r="H123" s="7"/>
      <c r="J123" s="58">
        <f t="shared" si="9"/>
        <v>8.3606550393815413E-2</v>
      </c>
      <c r="K123" s="58">
        <f t="shared" si="10"/>
        <v>0.68632994342297293</v>
      </c>
      <c r="L123" s="58">
        <f t="shared" si="11"/>
        <v>2.2626587341707731</v>
      </c>
      <c r="M123" s="2">
        <f t="shared" si="13"/>
        <v>48.200000000000117</v>
      </c>
      <c r="N123" s="58">
        <f t="shared" si="12"/>
        <v>10.74688796680493</v>
      </c>
    </row>
    <row r="124" spans="1:14" s="80" customFormat="1" ht="17.25" customHeight="1" thickBot="1" x14ac:dyDescent="0.25">
      <c r="A124" s="408"/>
      <c r="B124" s="409"/>
      <c r="C124" s="86" t="s">
        <v>8</v>
      </c>
      <c r="D124" s="184">
        <v>74</v>
      </c>
      <c r="E124" s="115"/>
      <c r="F124" s="115"/>
      <c r="G124" s="2"/>
      <c r="H124" s="7"/>
      <c r="J124" s="58">
        <f t="shared" si="9"/>
        <v>8.5312704368030096E-2</v>
      </c>
      <c r="K124" s="58">
        <f t="shared" si="10"/>
        <v>0.69188260725460715</v>
      </c>
      <c r="L124" s="58">
        <f t="shared" si="11"/>
        <v>2.2735556242929396</v>
      </c>
      <c r="M124" s="2">
        <f t="shared" si="13"/>
        <v>48.300000000000118</v>
      </c>
      <c r="N124" s="58">
        <f t="shared" si="12"/>
        <v>10.703933747411959</v>
      </c>
    </row>
    <row r="125" spans="1:14" s="7" customFormat="1" x14ac:dyDescent="0.2">
      <c r="A125" s="406" t="s">
        <v>144</v>
      </c>
      <c r="B125" s="407"/>
      <c r="C125" s="85" t="s">
        <v>61</v>
      </c>
      <c r="D125" s="266">
        <f>'SDA 4'!$B$16+'SDA 4'!$B$18+'SDA 4'!$C$16+'SDA 4'!$C$18</f>
        <v>0</v>
      </c>
      <c r="E125" s="202" t="s">
        <v>7</v>
      </c>
      <c r="F125" s="203" t="s">
        <v>9</v>
      </c>
      <c r="G125" s="2"/>
      <c r="I125" s="2"/>
      <c r="J125" s="58">
        <f t="shared" si="9"/>
        <v>8.7034365822444143E-2</v>
      </c>
      <c r="K125" s="58">
        <f t="shared" si="10"/>
        <v>0.69745055199590966</v>
      </c>
      <c r="L125" s="58">
        <f t="shared" si="11"/>
        <v>2.2844603028108632</v>
      </c>
      <c r="M125" s="2">
        <f t="shared" si="13"/>
        <v>48.400000000000119</v>
      </c>
      <c r="N125" s="58">
        <f t="shared" si="12"/>
        <v>10.661157024793336</v>
      </c>
    </row>
    <row r="126" spans="1:14" s="7" customFormat="1" ht="13.5" thickBot="1" x14ac:dyDescent="0.25">
      <c r="A126" s="408"/>
      <c r="B126" s="409"/>
      <c r="C126" s="86" t="s">
        <v>8</v>
      </c>
      <c r="D126" s="185">
        <v>98</v>
      </c>
      <c r="E126" s="183">
        <f>IF($B$12&gt;0,(D121*D122+D123*D124+D125*D126)/$B$12,0)</f>
        <v>0</v>
      </c>
      <c r="F126" s="197">
        <f>IF(E126&gt;0,1000/E126-10,1000)</f>
        <v>1000</v>
      </c>
      <c r="G126" s="2"/>
      <c r="I126" s="2"/>
      <c r="J126" s="58">
        <f t="shared" si="9"/>
        <v>8.8771496998419783E-2</v>
      </c>
      <c r="K126" s="58">
        <f t="shared" si="10"/>
        <v>0.70303373074827313</v>
      </c>
      <c r="L126" s="58">
        <f t="shared" si="11"/>
        <v>2.295372714964357</v>
      </c>
      <c r="M126" s="2">
        <f t="shared" si="13"/>
        <v>48.500000000000121</v>
      </c>
      <c r="N126" s="58">
        <f t="shared" si="12"/>
        <v>10.618556701030876</v>
      </c>
    </row>
    <row r="127" spans="1:14" s="7" customFormat="1" x14ac:dyDescent="0.2">
      <c r="A127" s="2"/>
      <c r="B127" s="3"/>
      <c r="C127" s="88"/>
      <c r="D127" s="200"/>
      <c r="E127" s="88"/>
      <c r="F127" s="88"/>
      <c r="G127" s="2"/>
      <c r="I127" s="2"/>
      <c r="J127" s="58">
        <f t="shared" si="9"/>
        <v>9.0524060648227309E-2</v>
      </c>
      <c r="K127" s="58">
        <f t="shared" si="10"/>
        <v>0.70863209707822705</v>
      </c>
      <c r="L127" s="58">
        <f t="shared" si="11"/>
        <v>2.3062928064450312</v>
      </c>
      <c r="M127" s="2">
        <f t="shared" si="13"/>
        <v>48.600000000000122</v>
      </c>
      <c r="N127" s="58">
        <f t="shared" si="12"/>
        <v>10.576131687242746</v>
      </c>
    </row>
    <row r="128" spans="1:14" s="7" customFormat="1" x14ac:dyDescent="0.2">
      <c r="A128" s="40"/>
      <c r="B128" s="2"/>
      <c r="C128" s="141"/>
      <c r="D128" s="196" t="str">
        <f>$B$4</f>
        <v>2-year storm</v>
      </c>
      <c r="E128" s="196" t="str">
        <f>$C$4</f>
        <v>15-year storm</v>
      </c>
      <c r="F128" s="196" t="str">
        <f>$D$4</f>
        <v>100-year storm</v>
      </c>
      <c r="G128" s="2"/>
      <c r="I128" s="2"/>
      <c r="J128" s="58">
        <f t="shared" si="9"/>
        <v>9.229202003066049E-2</v>
      </c>
      <c r="K128" s="58">
        <f t="shared" si="10"/>
        <v>0.71424560501282519</v>
      </c>
      <c r="L128" s="58">
        <f t="shared" si="11"/>
        <v>2.3172205233916525</v>
      </c>
      <c r="M128" s="2">
        <f t="shared" si="13"/>
        <v>48.700000000000124</v>
      </c>
      <c r="N128" s="58">
        <f t="shared" si="12"/>
        <v>10.533880903490708</v>
      </c>
    </row>
    <row r="129" spans="1:14" s="7" customFormat="1" ht="12.75" customHeight="1" x14ac:dyDescent="0.2">
      <c r="A129" s="404" t="s">
        <v>213</v>
      </c>
      <c r="B129" s="404"/>
      <c r="C129" s="405"/>
      <c r="D129" s="197">
        <f>IF(B$5&gt;0.2*($F126),(B$5-0.2*($F126))^2/(B$5+0.8*($F126)),0)</f>
        <v>0</v>
      </c>
      <c r="E129" s="197">
        <f>IF(C$5&gt;0.2*($F126),(C$5-0.2*($F126))^2/(C$5+0.8*($F126)),0)</f>
        <v>0</v>
      </c>
      <c r="F129" s="197">
        <f>IF(D$5&gt;0.2*($F126),(D$5-0.2*($F126))^2/(D$5+0.8*($F126)),0)</f>
        <v>0</v>
      </c>
      <c r="G129" s="2"/>
      <c r="I129" s="2"/>
      <c r="J129" s="58">
        <f t="shared" si="9"/>
        <v>9.4075338906711534E-2</v>
      </c>
      <c r="K129" s="58">
        <f t="shared" si="10"/>
        <v>0.71987420903509169</v>
      </c>
      <c r="L129" s="58">
        <f t="shared" si="11"/>
        <v>2.3281558123855635</v>
      </c>
      <c r="M129" s="2">
        <f t="shared" si="13"/>
        <v>48.800000000000125</v>
      </c>
      <c r="N129" s="58">
        <f t="shared" si="12"/>
        <v>10.491803278688472</v>
      </c>
    </row>
    <row r="130" spans="1:14" s="7" customFormat="1" x14ac:dyDescent="0.2">
      <c r="A130" s="404" t="s">
        <v>214</v>
      </c>
      <c r="B130" s="404"/>
      <c r="C130" s="405"/>
      <c r="D130" s="197">
        <f>IF($B$12&gt;0,D129-$C$12*12/$B$12,D129)</f>
        <v>0</v>
      </c>
      <c r="E130" s="197">
        <f>IF($B$12&gt;0,E129-$C$12*12/$B$12,E129)</f>
        <v>0</v>
      </c>
      <c r="F130" s="197">
        <f>IF($B$12&gt;0,F129-$C$12*12/$B$12,F129)</f>
        <v>0</v>
      </c>
      <c r="G130" s="2"/>
      <c r="I130" s="2"/>
      <c r="J130" s="58">
        <f t="shared" si="9"/>
        <v>9.5873981535302452E-2</v>
      </c>
      <c r="K130" s="58">
        <f t="shared" si="10"/>
        <v>0.7255178640795229</v>
      </c>
      <c r="L130" s="58">
        <f t="shared" si="11"/>
        <v>2.3390986204461544</v>
      </c>
      <c r="M130" s="2">
        <f t="shared" si="13"/>
        <v>48.900000000000126</v>
      </c>
      <c r="N130" s="58">
        <f t="shared" si="12"/>
        <v>10.449897750511195</v>
      </c>
    </row>
    <row r="131" spans="1:14" s="7" customFormat="1" ht="12.75" customHeight="1" x14ac:dyDescent="0.2">
      <c r="A131" s="260"/>
      <c r="B131" s="260"/>
      <c r="C131" s="29" t="s">
        <v>28</v>
      </c>
      <c r="D131" s="198">
        <f>IF(D130&gt;0,VLOOKUP(D130,J$25:$N$639,4),0)</f>
        <v>0</v>
      </c>
      <c r="E131" s="198">
        <f>IF(E130&gt;0,VLOOKUP(E130,K$25:$N$639,3),0)</f>
        <v>0</v>
      </c>
      <c r="F131" s="198">
        <f>IF(F130&gt;0,VLOOKUP(F130,L$25:$N$639,2),0)</f>
        <v>0</v>
      </c>
      <c r="G131" s="2"/>
      <c r="I131" s="2"/>
      <c r="J131" s="58">
        <f t="shared" si="9"/>
        <v>9.768791266907452E-2</v>
      </c>
      <c r="K131" s="58">
        <f t="shared" si="10"/>
        <v>0.73117652552764656</v>
      </c>
      <c r="L131" s="58">
        <f t="shared" si="11"/>
        <v>2.3500488950263954</v>
      </c>
      <c r="M131" s="2">
        <f t="shared" si="13"/>
        <v>49.000000000000128</v>
      </c>
      <c r="N131" s="58">
        <f t="shared" si="12"/>
        <v>10.408163265306069</v>
      </c>
    </row>
    <row r="132" spans="1:14" s="7" customFormat="1" x14ac:dyDescent="0.2">
      <c r="A132" s="2"/>
      <c r="B132" s="2"/>
      <c r="C132" s="88"/>
      <c r="D132" s="200"/>
      <c r="E132" s="88"/>
      <c r="F132" s="200"/>
      <c r="G132" s="2"/>
      <c r="I132" s="2"/>
      <c r="J132" s="58">
        <f t="shared" si="9"/>
        <v>9.9517097550232622E-2</v>
      </c>
      <c r="K132" s="58">
        <f t="shared" si="10"/>
        <v>0.73685014920363312</v>
      </c>
      <c r="L132" s="58">
        <f t="shared" si="11"/>
        <v>2.3610065840084227</v>
      </c>
      <c r="M132" s="2">
        <f t="shared" si="13"/>
        <v>49.100000000000129</v>
      </c>
      <c r="N132" s="58">
        <f t="shared" si="12"/>
        <v>10.366598778004018</v>
      </c>
    </row>
    <row r="133" spans="1:14" s="7" customFormat="1" x14ac:dyDescent="0.2">
      <c r="A133" s="410" t="s">
        <v>161</v>
      </c>
      <c r="B133" s="411"/>
      <c r="C133" s="411"/>
      <c r="D133" s="411"/>
      <c r="E133" s="411"/>
      <c r="F133" s="412"/>
      <c r="G133" s="2"/>
      <c r="I133" s="2"/>
      <c r="J133" s="58">
        <f t="shared" si="9"/>
        <v>0.10136150190644509</v>
      </c>
      <c r="K133" s="58">
        <f t="shared" si="10"/>
        <v>0.74253869136996231</v>
      </c>
      <c r="L133" s="58">
        <f t="shared" si="11"/>
        <v>2.3719716356991709</v>
      </c>
      <c r="M133" s="2">
        <f t="shared" si="13"/>
        <v>49.200000000000131</v>
      </c>
      <c r="N133" s="58">
        <f t="shared" si="12"/>
        <v>10.325203252032466</v>
      </c>
    </row>
    <row r="134" spans="1:14" s="7" customFormat="1" ht="13.5" thickBot="1" x14ac:dyDescent="0.25">
      <c r="A134" s="416" t="s">
        <v>211</v>
      </c>
      <c r="B134" s="417"/>
      <c r="C134" s="263"/>
      <c r="D134" s="263" t="s">
        <v>27</v>
      </c>
      <c r="E134" s="51"/>
      <c r="F134" s="51"/>
      <c r="G134" s="2"/>
      <c r="I134" s="2"/>
      <c r="J134" s="58">
        <f t="shared" si="9"/>
        <v>0.10322109194679847</v>
      </c>
      <c r="K134" s="58">
        <f t="shared" si="10"/>
        <v>0.74824210872314334</v>
      </c>
      <c r="L134" s="58">
        <f t="shared" si="11"/>
        <v>2.3829439988260721</v>
      </c>
      <c r="M134" s="2">
        <f t="shared" si="13"/>
        <v>49.300000000000132</v>
      </c>
      <c r="N134" s="58">
        <f t="shared" si="12"/>
        <v>10.283975659229153</v>
      </c>
    </row>
    <row r="135" spans="1:14" s="7" customFormat="1" x14ac:dyDescent="0.2">
      <c r="A135" s="415" t="s">
        <v>24</v>
      </c>
      <c r="B135" s="407"/>
      <c r="C135" s="85" t="s">
        <v>61</v>
      </c>
      <c r="D135" s="266">
        <f>'SDA 5'!$B$6</f>
        <v>0</v>
      </c>
      <c r="E135" s="16"/>
      <c r="F135" s="16"/>
      <c r="G135" s="2"/>
      <c r="I135" s="2"/>
      <c r="J135" s="58">
        <f t="shared" si="9"/>
        <v>0.10509583435780508</v>
      </c>
      <c r="K135" s="58">
        <f t="shared" si="10"/>
        <v>0.75396035838948616</v>
      </c>
      <c r="L135" s="58">
        <f t="shared" si="11"/>
        <v>2.3939236225327929</v>
      </c>
      <c r="M135" s="2">
        <f t="shared" si="13"/>
        <v>49.400000000000134</v>
      </c>
      <c r="N135" s="58">
        <f t="shared" si="12"/>
        <v>10.242914979757032</v>
      </c>
    </row>
    <row r="136" spans="1:14" s="7" customFormat="1" ht="13.5" thickBot="1" x14ac:dyDescent="0.25">
      <c r="A136" s="408"/>
      <c r="B136" s="409"/>
      <c r="C136" s="86" t="s">
        <v>8</v>
      </c>
      <c r="D136" s="184">
        <v>70</v>
      </c>
      <c r="E136" s="115"/>
      <c r="F136" s="115"/>
      <c r="G136" s="2"/>
      <c r="J136" s="58">
        <f t="shared" si="9"/>
        <v>0.10698569629946464</v>
      </c>
      <c r="K136" s="58">
        <f t="shared" si="10"/>
        <v>0.75969339792092638</v>
      </c>
      <c r="L136" s="58">
        <f t="shared" si="11"/>
        <v>2.4049104563750352</v>
      </c>
      <c r="M136" s="2">
        <f t="shared" si="13"/>
        <v>49.500000000000135</v>
      </c>
      <c r="N136" s="58">
        <f t="shared" si="12"/>
        <v>10.202020202020147</v>
      </c>
    </row>
    <row r="137" spans="1:14" s="7" customFormat="1" x14ac:dyDescent="0.2">
      <c r="A137" s="415" t="s">
        <v>30</v>
      </c>
      <c r="B137" s="407"/>
      <c r="C137" s="85" t="s">
        <v>61</v>
      </c>
      <c r="D137" s="266">
        <f>'SDA 5'!$B$7</f>
        <v>0</v>
      </c>
      <c r="E137" s="16"/>
      <c r="F137" s="16"/>
      <c r="G137" s="2"/>
      <c r="J137" s="58">
        <f t="shared" si="9"/>
        <v>0.10889064540137693</v>
      </c>
      <c r="K137" s="58">
        <f t="shared" si="10"/>
        <v>0.76544118529089744</v>
      </c>
      <c r="L137" s="58">
        <f t="shared" si="11"/>
        <v>2.4159044503163778</v>
      </c>
      <c r="M137" s="2">
        <f t="shared" si="13"/>
        <v>49.600000000000136</v>
      </c>
      <c r="N137" s="58">
        <f t="shared" si="12"/>
        <v>10.161290322580591</v>
      </c>
    </row>
    <row r="138" spans="1:14" s="7" customFormat="1" ht="13.5" thickBot="1" x14ac:dyDescent="0.25">
      <c r="A138" s="408"/>
      <c r="B138" s="409"/>
      <c r="C138" s="86" t="s">
        <v>8</v>
      </c>
      <c r="D138" s="184">
        <v>74</v>
      </c>
      <c r="E138" s="115"/>
      <c r="F138" s="115"/>
      <c r="G138" s="2"/>
      <c r="J138" s="58">
        <f t="shared" si="9"/>
        <v>0.11081064975890723</v>
      </c>
      <c r="K138" s="58">
        <f t="shared" si="10"/>
        <v>0.7712036788902582</v>
      </c>
      <c r="L138" s="58">
        <f t="shared" si="11"/>
        <v>2.4269055547241769</v>
      </c>
      <c r="M138" s="2">
        <f t="shared" si="13"/>
        <v>49.700000000000138</v>
      </c>
      <c r="N138" s="58">
        <f t="shared" si="12"/>
        <v>10.120724346076404</v>
      </c>
    </row>
    <row r="139" spans="1:14" s="7" customFormat="1" x14ac:dyDescent="0.2">
      <c r="A139" s="406" t="s">
        <v>144</v>
      </c>
      <c r="B139" s="407"/>
      <c r="C139" s="85" t="s">
        <v>61</v>
      </c>
      <c r="D139" s="266">
        <f>'SDA 5'!$B$8+'SDA 5'!$B$9</f>
        <v>0</v>
      </c>
      <c r="E139" s="202" t="s">
        <v>7</v>
      </c>
      <c r="F139" s="203" t="s">
        <v>9</v>
      </c>
      <c r="G139" s="2"/>
      <c r="J139" s="58">
        <f t="shared" si="9"/>
        <v>0.11274567792940141</v>
      </c>
      <c r="K139" s="58">
        <f t="shared" si="10"/>
        <v>0.77698083752326519</v>
      </c>
      <c r="L139" s="58">
        <f t="shared" si="11"/>
        <v>2.4379137203655072</v>
      </c>
      <c r="M139" s="2">
        <f t="shared" si="13"/>
        <v>49.800000000000139</v>
      </c>
      <c r="N139" s="58">
        <f t="shared" si="12"/>
        <v>10.080321285140506</v>
      </c>
    </row>
    <row r="140" spans="1:14" s="7" customFormat="1" ht="13.5" thickBot="1" x14ac:dyDescent="0.25">
      <c r="A140" s="408"/>
      <c r="B140" s="409"/>
      <c r="C140" s="86" t="s">
        <v>8</v>
      </c>
      <c r="D140" s="185">
        <v>98</v>
      </c>
      <c r="E140" s="183">
        <f>IF($B$13&gt;0,(D135*D136+D137*D138+D139*D140)/$B$13,0)</f>
        <v>0</v>
      </c>
      <c r="F140" s="197">
        <f>IF(E140&gt;0,1000/E140-10,1000)</f>
        <v>1000</v>
      </c>
      <c r="G140" s="2"/>
      <c r="J140" s="58">
        <f t="shared" si="9"/>
        <v>0.11469569892845231</v>
      </c>
      <c r="K140" s="58">
        <f t="shared" si="10"/>
        <v>0.78277262040359674</v>
      </c>
      <c r="L140" s="58">
        <f t="shared" si="11"/>
        <v>2.4489288984031621</v>
      </c>
      <c r="M140" s="2">
        <f t="shared" si="13"/>
        <v>49.900000000000141</v>
      </c>
      <c r="N140" s="58">
        <f t="shared" si="12"/>
        <v>10.040080160320585</v>
      </c>
    </row>
    <row r="141" spans="1:14" s="7" customFormat="1" ht="12.75" customHeight="1" x14ac:dyDescent="0.2">
      <c r="A141" s="38"/>
      <c r="B141" s="28"/>
      <c r="C141" s="88"/>
      <c r="D141" s="200"/>
      <c r="E141" s="88"/>
      <c r="F141" s="88"/>
      <c r="G141" s="2"/>
      <c r="J141" s="58">
        <f t="shared" si="9"/>
        <v>0.11666068222621467</v>
      </c>
      <c r="K141" s="58">
        <f t="shared" si="10"/>
        <v>0.7885789871504244</v>
      </c>
      <c r="L141" s="58">
        <f t="shared" si="11"/>
        <v>2.4599510403916929</v>
      </c>
      <c r="M141" s="2">
        <f t="shared" si="13"/>
        <v>50.000000000000142</v>
      </c>
      <c r="N141" s="58">
        <f t="shared" si="12"/>
        <v>9.9999999999999432</v>
      </c>
    </row>
    <row r="142" spans="1:14" s="7" customFormat="1" ht="13.5" thickBot="1" x14ac:dyDescent="0.25">
      <c r="A142" s="413" t="s">
        <v>212</v>
      </c>
      <c r="B142" s="414"/>
      <c r="C142" s="267"/>
      <c r="D142" s="268" t="s">
        <v>27</v>
      </c>
      <c r="E142" s="51"/>
      <c r="F142" s="51"/>
      <c r="G142" s="2"/>
      <c r="J142" s="58">
        <f t="shared" si="9"/>
        <v>0.11864059774376941</v>
      </c>
      <c r="K142" s="58">
        <f t="shared" si="10"/>
        <v>0.79439989778452991</v>
      </c>
      <c r="L142" s="58">
        <f t="shared" si="11"/>
        <v>2.470980098273496</v>
      </c>
      <c r="M142" s="2">
        <f t="shared" si="13"/>
        <v>50.100000000000144</v>
      </c>
      <c r="N142" s="58">
        <f t="shared" si="12"/>
        <v>9.9600798403193025</v>
      </c>
    </row>
    <row r="143" spans="1:14" s="7" customFormat="1" ht="12.75" customHeight="1" x14ac:dyDescent="0.2">
      <c r="A143" s="415" t="s">
        <v>24</v>
      </c>
      <c r="B143" s="407"/>
      <c r="C143" s="85" t="s">
        <v>61</v>
      </c>
      <c r="D143" s="265">
        <f>'SDA 5'!$B$14+'SDA 5'!$C$14</f>
        <v>0</v>
      </c>
      <c r="E143" s="16"/>
      <c r="F143" s="16"/>
      <c r="G143" s="2"/>
      <c r="J143" s="58">
        <f t="shared" si="9"/>
        <v>0.12063541584953576</v>
      </c>
      <c r="K143" s="58">
        <f t="shared" si="10"/>
        <v>0.80023531272447335</v>
      </c>
      <c r="L143" s="58">
        <f t="shared" si="11"/>
        <v>2.4820160243749565</v>
      </c>
      <c r="M143" s="2">
        <f t="shared" si="13"/>
        <v>50.200000000000145</v>
      </c>
      <c r="N143" s="58">
        <f t="shared" si="12"/>
        <v>9.9203187250995448</v>
      </c>
    </row>
    <row r="144" spans="1:14" s="7" customFormat="1" ht="13.5" thickBot="1" x14ac:dyDescent="0.25">
      <c r="A144" s="408"/>
      <c r="B144" s="409"/>
      <c r="C144" s="86" t="s">
        <v>8</v>
      </c>
      <c r="D144" s="184">
        <v>70</v>
      </c>
      <c r="E144" s="115"/>
      <c r="F144" s="115"/>
      <c r="G144" s="2"/>
      <c r="J144" s="58">
        <f t="shared" si="9"/>
        <v>0.12264510735573175</v>
      </c>
      <c r="K144" s="58">
        <f t="shared" si="10"/>
        <v>0.80608519278280344</v>
      </c>
      <c r="L144" s="58">
        <f t="shared" si="11"/>
        <v>2.4930587714026267</v>
      </c>
      <c r="M144" s="2">
        <f t="shared" si="13"/>
        <v>50.300000000000146</v>
      </c>
      <c r="N144" s="58">
        <f t="shared" si="12"/>
        <v>9.8807157057653505</v>
      </c>
    </row>
    <row r="145" spans="1:14" s="7" customFormat="1" x14ac:dyDescent="0.2">
      <c r="A145" s="415" t="s">
        <v>30</v>
      </c>
      <c r="B145" s="407"/>
      <c r="C145" s="85" t="s">
        <v>61</v>
      </c>
      <c r="D145" s="266">
        <f>'SDA 5'!$B$15+'SDA 5'!$C$15</f>
        <v>0</v>
      </c>
      <c r="E145" s="16"/>
      <c r="F145" s="16"/>
      <c r="G145" s="2"/>
      <c r="J145" s="58">
        <f t="shared" si="9"/>
        <v>0.12466964351488023</v>
      </c>
      <c r="K145" s="58">
        <f t="shared" si="10"/>
        <v>0.81194949916231518</v>
      </c>
      <c r="L145" s="58">
        <f t="shared" si="11"/>
        <v>2.5041082924394558</v>
      </c>
      <c r="M145" s="2">
        <f t="shared" si="13"/>
        <v>50.400000000000148</v>
      </c>
      <c r="N145" s="58">
        <f t="shared" si="12"/>
        <v>9.8412698412697814</v>
      </c>
    </row>
    <row r="146" spans="1:14" s="7" customFormat="1" ht="13.5" thickBot="1" x14ac:dyDescent="0.25">
      <c r="A146" s="408"/>
      <c r="B146" s="409"/>
      <c r="C146" s="86" t="s">
        <v>8</v>
      </c>
      <c r="D146" s="184">
        <v>74</v>
      </c>
      <c r="E146" s="115"/>
      <c r="F146" s="115"/>
      <c r="G146" s="2"/>
      <c r="J146" s="58">
        <f t="shared" si="9"/>
        <v>0.12670899601636176</v>
      </c>
      <c r="K146" s="58">
        <f t="shared" si="10"/>
        <v>0.81782819345234981</v>
      </c>
      <c r="L146" s="58">
        <f t="shared" si="11"/>
        <v>2.515164540941059</v>
      </c>
      <c r="M146" s="2">
        <f t="shared" si="13"/>
        <v>50.500000000000149</v>
      </c>
      <c r="N146" s="58">
        <f t="shared" si="12"/>
        <v>9.801980198019745</v>
      </c>
    </row>
    <row r="147" spans="1:14" s="7" customFormat="1" x14ac:dyDescent="0.2">
      <c r="A147" s="406" t="s">
        <v>144</v>
      </c>
      <c r="B147" s="407"/>
      <c r="C147" s="85" t="s">
        <v>61</v>
      </c>
      <c r="D147" s="266">
        <f>'SDA 5'!$B$16+'SDA 5'!$B$18+'SDA 5'!$C$16+'SDA 5'!$C$18</f>
        <v>0</v>
      </c>
      <c r="E147" s="202" t="s">
        <v>7</v>
      </c>
      <c r="F147" s="203" t="s">
        <v>9</v>
      </c>
      <c r="G147" s="2"/>
      <c r="J147" s="58">
        <f t="shared" si="9"/>
        <v>0.12876313698301436</v>
      </c>
      <c r="K147" s="58">
        <f t="shared" si="10"/>
        <v>0.82372123762514526</v>
      </c>
      <c r="L147" s="58">
        <f t="shared" si="11"/>
        <v>2.5262274707320422</v>
      </c>
      <c r="M147" s="2">
        <f t="shared" si="13"/>
        <v>50.600000000000151</v>
      </c>
      <c r="N147" s="58">
        <f t="shared" si="12"/>
        <v>9.7628458498023143</v>
      </c>
    </row>
    <row r="148" spans="1:14" s="7" customFormat="1" ht="13.5" thickBot="1" x14ac:dyDescent="0.25">
      <c r="A148" s="408"/>
      <c r="B148" s="409"/>
      <c r="C148" s="86" t="s">
        <v>8</v>
      </c>
      <c r="D148" s="185">
        <v>98</v>
      </c>
      <c r="E148" s="183">
        <f>IF($B$13&gt;0,(D143*D144+D145*D146+D147*D148)/$B$13,0)</f>
        <v>0</v>
      </c>
      <c r="F148" s="197">
        <f>IF(E148&gt;0,1000/E148-10,1000)</f>
        <v>1000</v>
      </c>
      <c r="G148" s="2"/>
      <c r="J148" s="58">
        <f t="shared" si="9"/>
        <v>0.13083203896777629</v>
      </c>
      <c r="K148" s="58">
        <f t="shared" si="10"/>
        <v>0.82962859403222344</v>
      </c>
      <c r="L148" s="58">
        <f t="shared" si="11"/>
        <v>2.5372970360023577</v>
      </c>
      <c r="M148" s="2">
        <f t="shared" si="13"/>
        <v>50.700000000000152</v>
      </c>
      <c r="N148" s="58">
        <f t="shared" si="12"/>
        <v>9.7238658777119724</v>
      </c>
    </row>
    <row r="149" spans="1:14" s="7" customFormat="1" x14ac:dyDescent="0.2">
      <c r="A149" s="2"/>
      <c r="B149" s="3"/>
      <c r="C149" s="88"/>
      <c r="D149" s="200"/>
      <c r="E149" s="88"/>
      <c r="F149" s="88"/>
      <c r="G149" s="2"/>
      <c r="J149" s="58">
        <f t="shared" si="9"/>
        <v>0.13291567495037424</v>
      </c>
      <c r="K149" s="58">
        <f t="shared" si="10"/>
        <v>0.83555022540082236</v>
      </c>
      <c r="L149" s="58">
        <f t="shared" si="11"/>
        <v>2.5483731913037073</v>
      </c>
      <c r="M149" s="2">
        <f t="shared" si="13"/>
        <v>50.800000000000153</v>
      </c>
      <c r="N149" s="58">
        <f t="shared" si="12"/>
        <v>9.6850393700786803</v>
      </c>
    </row>
    <row r="150" spans="1:14" s="7" customFormat="1" x14ac:dyDescent="0.2">
      <c r="A150" s="40"/>
      <c r="B150" s="2"/>
      <c r="C150" s="141"/>
      <c r="D150" s="196" t="str">
        <f>$B$4</f>
        <v>2-year storm</v>
      </c>
      <c r="E150" s="196" t="str">
        <f>$C$4</f>
        <v>15-year storm</v>
      </c>
      <c r="F150" s="196" t="str">
        <f>$D$4</f>
        <v>100-year storm</v>
      </c>
      <c r="G150" s="2"/>
      <c r="J150" s="58">
        <f t="shared" si="9"/>
        <v>0.13501401833405599</v>
      </c>
      <c r="K150" s="58">
        <f t="shared" si="10"/>
        <v>0.84148609483037395</v>
      </c>
      <c r="L150" s="58">
        <f t="shared" si="11"/>
        <v>2.5594558915459911</v>
      </c>
      <c r="M150" s="2">
        <f t="shared" si="13"/>
        <v>50.900000000000155</v>
      </c>
      <c r="N150" s="58">
        <f t="shared" si="12"/>
        <v>9.6463654223967978</v>
      </c>
    </row>
    <row r="151" spans="1:14" s="7" customFormat="1" x14ac:dyDescent="0.2">
      <c r="A151" s="404" t="s">
        <v>213</v>
      </c>
      <c r="B151" s="404"/>
      <c r="C151" s="405"/>
      <c r="D151" s="197">
        <f>IF(B$5&gt;0.2*($F148),(B$5-0.2*($F148))^2/(B$5+0.8*($F148)),0)</f>
        <v>0</v>
      </c>
      <c r="E151" s="197">
        <f>IF(C$5&gt;0.2*($F148),(C$5-0.2*($F148))^2/(C$5+0.8*($F148)),0)</f>
        <v>0</v>
      </c>
      <c r="F151" s="197">
        <f>IF(D$5&gt;0.2*($F148),(D$5-0.2*($F148))^2/(D$5+0.8*($F148)),0)</f>
        <v>0</v>
      </c>
      <c r="G151" s="2"/>
      <c r="J151" s="58">
        <f t="shared" si="9"/>
        <v>0.13712704294236586</v>
      </c>
      <c r="K151" s="58">
        <f t="shared" si="10"/>
        <v>0.84743616578902148</v>
      </c>
      <c r="L151" s="58">
        <f t="shared" si="11"/>
        <v>2.5705450919937967</v>
      </c>
      <c r="M151" s="2">
        <f t="shared" si="13"/>
        <v>51.000000000000156</v>
      </c>
      <c r="N151" s="58">
        <f t="shared" si="12"/>
        <v>9.607843137254843</v>
      </c>
    </row>
    <row r="152" spans="1:14" s="7" customFormat="1" ht="14.25" customHeight="1" x14ac:dyDescent="0.2">
      <c r="A152" s="404" t="s">
        <v>214</v>
      </c>
      <c r="B152" s="404"/>
      <c r="C152" s="405"/>
      <c r="D152" s="197">
        <f>IF($B$13&gt;0,D151-$C$13*12/$B$13,D151)</f>
        <v>0</v>
      </c>
      <c r="E152" s="197">
        <f>IF($B$13&gt;0,E151-$C$13*12/$B$13,E151)</f>
        <v>0</v>
      </c>
      <c r="F152" s="197">
        <f>IF($B$13&gt;0,F151-$C$13*12/$B$13,F151)</f>
        <v>0</v>
      </c>
      <c r="G152" s="2"/>
      <c r="J152" s="58">
        <f t="shared" si="9"/>
        <v>0.1392547230159622</v>
      </c>
      <c r="K152" s="58">
        <f t="shared" si="10"/>
        <v>0.85340040211017631</v>
      </c>
      <c r="L152" s="58">
        <f t="shared" si="11"/>
        <v>2.5816407482629247</v>
      </c>
      <c r="M152" s="2">
        <f t="shared" si="13"/>
        <v>51.100000000000158</v>
      </c>
      <c r="N152" s="58">
        <f t="shared" si="12"/>
        <v>9.569471624266086</v>
      </c>
    </row>
    <row r="153" spans="1:14" s="7" customFormat="1" x14ac:dyDescent="0.2">
      <c r="A153" s="260"/>
      <c r="B153" s="260"/>
      <c r="C153" s="29" t="s">
        <v>28</v>
      </c>
      <c r="D153" s="198">
        <f>IF(D152&gt;0,VLOOKUP(D152,J$25:$N$639,4),0)</f>
        <v>0</v>
      </c>
      <c r="E153" s="198">
        <f>IF(E152&gt;0,VLOOKUP(E152,K$25:$N$639,3),0)</f>
        <v>0</v>
      </c>
      <c r="F153" s="198">
        <f>IF(F152&gt;0,VLOOKUP(F152,L$25:$N$639,2),0)</f>
        <v>0</v>
      </c>
      <c r="G153" s="2"/>
      <c r="J153" s="58">
        <f t="shared" ref="J153:J216" si="14">IF(B$5&gt;0.2*($N153),(B$5-0.2*($N153))^2/(B$5+0.8*($N153)),0)</f>
        <v>0.14139703320947855</v>
      </c>
      <c r="K153" s="58">
        <f t="shared" ref="K153:K216" si="15">IF(C$5&gt;0.2*($N153),(C$5-0.2*($N153))^2/(C$5+0.8*($N153)),0)</f>
        <v>0.85937876798911894</v>
      </c>
      <c r="L153" s="58">
        <f t="shared" ref="L153:L216" si="16">IF(D$5&gt;0.2*($N153),(D$5-0.2*($N153))^2/(D$5+0.8*($N153)),0)</f>
        <v>2.592742816316961</v>
      </c>
      <c r="M153" s="2">
        <f t="shared" si="13"/>
        <v>51.200000000000159</v>
      </c>
      <c r="N153" s="58">
        <f t="shared" si="12"/>
        <v>9.5312499999999396</v>
      </c>
    </row>
    <row r="154" spans="1:14" s="7" customFormat="1" x14ac:dyDescent="0.2">
      <c r="A154" s="2"/>
      <c r="B154" s="2"/>
      <c r="C154" s="88"/>
      <c r="D154" s="200"/>
      <c r="E154" s="88"/>
      <c r="F154" s="200"/>
      <c r="G154" s="2"/>
      <c r="J154" s="58">
        <f t="shared" si="14"/>
        <v>0.14355394858842507</v>
      </c>
      <c r="K154" s="58">
        <f t="shared" si="15"/>
        <v>0.86537122797963728</v>
      </c>
      <c r="L154" s="58">
        <f t="shared" si="16"/>
        <v>2.6038512524638855</v>
      </c>
      <c r="M154" s="2">
        <f t="shared" si="13"/>
        <v>51.300000000000161</v>
      </c>
      <c r="N154" s="58">
        <f t="shared" si="12"/>
        <v>9.4931773879141694</v>
      </c>
    </row>
    <row r="155" spans="1:14" s="7" customFormat="1" x14ac:dyDescent="0.2">
      <c r="A155" s="410" t="s">
        <v>162</v>
      </c>
      <c r="B155" s="411"/>
      <c r="C155" s="411"/>
      <c r="D155" s="411"/>
      <c r="E155" s="411"/>
      <c r="F155" s="412"/>
      <c r="G155" s="2"/>
      <c r="J155" s="58">
        <f t="shared" si="14"/>
        <v>0.14572544462613227</v>
      </c>
      <c r="K155" s="58">
        <f t="shared" si="15"/>
        <v>0.8713777469907088</v>
      </c>
      <c r="L155" s="58">
        <f t="shared" si="16"/>
        <v>2.6149660133527246</v>
      </c>
      <c r="M155" s="2">
        <f t="shared" si="13"/>
        <v>51.400000000000162</v>
      </c>
      <c r="N155" s="58">
        <f t="shared" si="12"/>
        <v>9.4552529182878757</v>
      </c>
    </row>
    <row r="156" spans="1:14" s="7" customFormat="1" ht="13.5" thickBot="1" x14ac:dyDescent="0.25">
      <c r="A156" s="427" t="s">
        <v>26</v>
      </c>
      <c r="B156" s="428"/>
      <c r="C156" s="39"/>
      <c r="D156" s="263" t="s">
        <v>27</v>
      </c>
      <c r="E156" s="51"/>
      <c r="F156" s="51"/>
      <c r="G156" s="2"/>
      <c r="J156" s="58">
        <f t="shared" si="14"/>
        <v>0.14791149720073415</v>
      </c>
      <c r="K156" s="58">
        <f t="shared" si="15"/>
        <v>0.87739829028321537</v>
      </c>
      <c r="L156" s="58">
        <f t="shared" si="16"/>
        <v>2.6260870559702374</v>
      </c>
      <c r="M156" s="2">
        <f t="shared" si="13"/>
        <v>51.500000000000163</v>
      </c>
      <c r="N156" s="58">
        <f t="shared" si="12"/>
        <v>9.4174757281552779</v>
      </c>
    </row>
    <row r="157" spans="1:14" s="7" customFormat="1" x14ac:dyDescent="0.2">
      <c r="A157" s="415" t="s">
        <v>24</v>
      </c>
      <c r="B157" s="407"/>
      <c r="C157" s="85" t="s">
        <v>61</v>
      </c>
      <c r="D157" s="266">
        <f>'SDA 6'!$B$6</f>
        <v>0</v>
      </c>
      <c r="E157" s="16"/>
      <c r="F157" s="16"/>
      <c r="G157" s="2"/>
      <c r="J157" s="58">
        <f t="shared" si="14"/>
        <v>0.15011208259219258</v>
      </c>
      <c r="K157" s="58">
        <f t="shared" si="15"/>
        <v>0.88343282346670204</v>
      </c>
      <c r="L157" s="58">
        <f t="shared" si="16"/>
        <v>2.6372143376376407</v>
      </c>
      <c r="M157" s="2">
        <f t="shared" si="13"/>
        <v>51.600000000000165</v>
      </c>
      <c r="N157" s="58">
        <f t="shared" si="12"/>
        <v>9.3798449612402486</v>
      </c>
    </row>
    <row r="158" spans="1:14" s="7" customFormat="1" ht="13.5" thickBot="1" x14ac:dyDescent="0.25">
      <c r="A158" s="408"/>
      <c r="B158" s="409"/>
      <c r="C158" s="86" t="s">
        <v>8</v>
      </c>
      <c r="D158" s="184">
        <v>70</v>
      </c>
      <c r="E158" s="115"/>
      <c r="F158" s="115"/>
      <c r="G158" s="2"/>
      <c r="J158" s="58">
        <f t="shared" si="14"/>
        <v>0.15232717747936061</v>
      </c>
      <c r="K158" s="58">
        <f t="shared" si="15"/>
        <v>0.88948131249617346</v>
      </c>
      <c r="L158" s="58">
        <f t="shared" si="16"/>
        <v>2.6483478160073815</v>
      </c>
      <c r="M158" s="2">
        <f t="shared" si="13"/>
        <v>51.700000000000166</v>
      </c>
      <c r="N158" s="58">
        <f t="shared" si="12"/>
        <v>9.3423597678916188</v>
      </c>
    </row>
    <row r="159" spans="1:14" s="7" customFormat="1" x14ac:dyDescent="0.2">
      <c r="A159" s="415" t="s">
        <v>30</v>
      </c>
      <c r="B159" s="407"/>
      <c r="C159" s="85" t="s">
        <v>61</v>
      </c>
      <c r="D159" s="266">
        <f>'SDA 6'!$B$7</f>
        <v>0</v>
      </c>
      <c r="E159" s="16"/>
      <c r="F159" s="16"/>
      <c r="G159" s="2"/>
      <c r="J159" s="58">
        <f t="shared" si="14"/>
        <v>0.15455675893708407</v>
      </c>
      <c r="K159" s="58">
        <f t="shared" si="15"/>
        <v>0.89554372366892221</v>
      </c>
      <c r="L159" s="58">
        <f t="shared" si="16"/>
        <v>2.6594874490599292</v>
      </c>
      <c r="M159" s="2">
        <f t="shared" si="13"/>
        <v>51.800000000000168</v>
      </c>
      <c r="N159" s="58">
        <f t="shared" si="12"/>
        <v>9.3050193050192433</v>
      </c>
    </row>
    <row r="160" spans="1:14" s="7" customFormat="1" ht="13.5" thickBot="1" x14ac:dyDescent="0.25">
      <c r="A160" s="408"/>
      <c r="B160" s="409"/>
      <c r="C160" s="86" t="s">
        <v>8</v>
      </c>
      <c r="D160" s="184">
        <v>74</v>
      </c>
      <c r="E160" s="115"/>
      <c r="F160" s="115"/>
      <c r="G160" s="2"/>
      <c r="J160" s="58">
        <f t="shared" si="14"/>
        <v>0.15680080443334421</v>
      </c>
      <c r="K160" s="58">
        <f t="shared" si="15"/>
        <v>0.90162002362140503</v>
      </c>
      <c r="L160" s="58">
        <f t="shared" si="16"/>
        <v>2.6706331951006286</v>
      </c>
      <c r="M160" s="2">
        <f t="shared" si="13"/>
        <v>51.900000000000169</v>
      </c>
      <c r="N160" s="58">
        <f t="shared" si="12"/>
        <v>9.2678227360307659</v>
      </c>
    </row>
    <row r="161" spans="1:14" s="7" customFormat="1" x14ac:dyDescent="0.2">
      <c r="A161" s="406" t="s">
        <v>144</v>
      </c>
      <c r="B161" s="407"/>
      <c r="C161" s="85" t="s">
        <v>61</v>
      </c>
      <c r="D161" s="266">
        <f>'SDA 6'!$B$8+'SDA 6'!$B$9</f>
        <v>0</v>
      </c>
      <c r="E161" s="202" t="s">
        <v>7</v>
      </c>
      <c r="F161" s="203" t="s">
        <v>9</v>
      </c>
      <c r="G161" s="2"/>
      <c r="J161" s="58">
        <f t="shared" si="14"/>
        <v>0.15905929182643508</v>
      </c>
      <c r="K161" s="58">
        <f t="shared" si="15"/>
        <v>0.90771017932614229</v>
      </c>
      <c r="L161" s="58">
        <f t="shared" si="16"/>
        <v>2.6817850127565612</v>
      </c>
      <c r="M161" s="2">
        <f t="shared" si="13"/>
        <v>52.000000000000171</v>
      </c>
      <c r="N161" s="58">
        <f t="shared" si="12"/>
        <v>9.230769230769166</v>
      </c>
    </row>
    <row r="162" spans="1:14" s="7" customFormat="1" ht="13.5" thickBot="1" x14ac:dyDescent="0.25">
      <c r="A162" s="408"/>
      <c r="B162" s="409"/>
      <c r="C162" s="86" t="s">
        <v>8</v>
      </c>
      <c r="D162" s="185">
        <v>98</v>
      </c>
      <c r="E162" s="183">
        <f>IF($B$14&gt;0,(D157*D158+D159*D160+D161*D162)/$B$14,0)</f>
        <v>0</v>
      </c>
      <c r="F162" s="197">
        <f>IF(E162&gt;0,1000/E162-10,1000)</f>
        <v>1000</v>
      </c>
      <c r="G162" s="2"/>
      <c r="J162" s="58">
        <f t="shared" si="14"/>
        <v>0.16133219936218099</v>
      </c>
      <c r="K162" s="58">
        <f t="shared" si="15"/>
        <v>0.91381415808866351</v>
      </c>
      <c r="L162" s="58">
        <f t="shared" si="16"/>
        <v>2.6929428609734671</v>
      </c>
      <c r="M162" s="2">
        <f t="shared" si="13"/>
        <v>52.100000000000172</v>
      </c>
      <c r="N162" s="58">
        <f t="shared" si="12"/>
        <v>9.1938579654509915</v>
      </c>
    </row>
    <row r="163" spans="1:14" s="7" customFormat="1" x14ac:dyDescent="0.2">
      <c r="A163" s="2"/>
      <c r="B163" s="3"/>
      <c r="C163" s="88"/>
      <c r="D163" s="200"/>
      <c r="E163" s="88"/>
      <c r="F163" s="88"/>
      <c r="G163" s="2"/>
      <c r="J163" s="58">
        <f t="shared" si="14"/>
        <v>0.16361950567119038</v>
      </c>
      <c r="K163" s="58">
        <f t="shared" si="15"/>
        <v>0.91993192754448594</v>
      </c>
      <c r="L163" s="58">
        <f t="shared" si="16"/>
        <v>2.7041066990126903</v>
      </c>
      <c r="M163" s="2">
        <f t="shared" si="13"/>
        <v>52.200000000000173</v>
      </c>
      <c r="N163" s="58">
        <f t="shared" si="12"/>
        <v>9.1570881226053018</v>
      </c>
    </row>
    <row r="164" spans="1:14" s="7" customFormat="1" ht="13.5" thickBot="1" x14ac:dyDescent="0.25">
      <c r="A164" s="413" t="s">
        <v>26</v>
      </c>
      <c r="B164" s="426"/>
      <c r="C164" s="39"/>
      <c r="D164" s="268" t="s">
        <v>27</v>
      </c>
      <c r="E164" s="51"/>
      <c r="F164" s="51"/>
      <c r="G164" s="2"/>
      <c r="J164" s="58">
        <f t="shared" si="14"/>
        <v>0.16592118976614642</v>
      </c>
      <c r="K164" s="58">
        <f t="shared" si="15"/>
        <v>0.92606345565612636</v>
      </c>
      <c r="L164" s="58">
        <f t="shared" si="16"/>
        <v>2.7152764864481624</v>
      </c>
      <c r="M164" s="2">
        <f t="shared" si="13"/>
        <v>52.300000000000175</v>
      </c>
      <c r="N164" s="58">
        <f t="shared" si="12"/>
        <v>9.1204588910133211</v>
      </c>
    </row>
    <row r="165" spans="1:14" s="7" customFormat="1" x14ac:dyDescent="0.2">
      <c r="A165" s="415" t="s">
        <v>24</v>
      </c>
      <c r="B165" s="407"/>
      <c r="C165" s="85" t="s">
        <v>61</v>
      </c>
      <c r="D165" s="265">
        <f>'SDA 6'!$B$14+'SDA 6'!$C$14</f>
        <v>0</v>
      </c>
      <c r="E165" s="16"/>
      <c r="F165" s="16"/>
      <c r="G165" s="2"/>
      <c r="J165" s="58">
        <f t="shared" si="14"/>
        <v>0.16823723103913257</v>
      </c>
      <c r="K165" s="58">
        <f t="shared" si="15"/>
        <v>0.93220871071014733</v>
      </c>
      <c r="L165" s="58">
        <f t="shared" si="16"/>
        <v>2.7264521831634134</v>
      </c>
      <c r="M165" s="2">
        <f t="shared" si="13"/>
        <v>52.400000000000176</v>
      </c>
      <c r="N165" s="58">
        <f t="shared" si="12"/>
        <v>9.0839694656487922</v>
      </c>
    </row>
    <row r="166" spans="1:14" s="7" customFormat="1" ht="13.5" thickBot="1" x14ac:dyDescent="0.25">
      <c r="A166" s="408"/>
      <c r="B166" s="409"/>
      <c r="C166" s="86" t="s">
        <v>8</v>
      </c>
      <c r="D166" s="184">
        <v>70</v>
      </c>
      <c r="E166" s="115"/>
      <c r="F166" s="115"/>
      <c r="G166" s="2"/>
      <c r="J166" s="58">
        <f t="shared" si="14"/>
        <v>0.17056760925899631</v>
      </c>
      <c r="K166" s="58">
        <f t="shared" si="15"/>
        <v>0.93836766131424065</v>
      </c>
      <c r="L166" s="58">
        <f t="shared" si="16"/>
        <v>2.7376337493486309</v>
      </c>
      <c r="M166" s="2">
        <f t="shared" si="13"/>
        <v>52.500000000000178</v>
      </c>
      <c r="N166" s="58">
        <f t="shared" si="12"/>
        <v>9.0476190476189835</v>
      </c>
    </row>
    <row r="167" spans="1:14" s="7" customFormat="1" x14ac:dyDescent="0.2">
      <c r="A167" s="415" t="s">
        <v>30</v>
      </c>
      <c r="B167" s="407"/>
      <c r="C167" s="85" t="s">
        <v>61</v>
      </c>
      <c r="D167" s="266">
        <f>'SDA 6'!$B$15+'SDA 6'!$C$15</f>
        <v>0</v>
      </c>
      <c r="E167" s="16"/>
      <c r="F167" s="16"/>
      <c r="G167" s="2"/>
      <c r="H167" s="79"/>
      <c r="J167" s="58">
        <f t="shared" si="14"/>
        <v>0.17291230456874596</v>
      </c>
      <c r="K167" s="58">
        <f t="shared" si="15"/>
        <v>0.94454027639434301</v>
      </c>
      <c r="L167" s="58">
        <f t="shared" si="16"/>
        <v>2.7488211454977414</v>
      </c>
      <c r="M167" s="2">
        <f t="shared" si="13"/>
        <v>52.600000000000179</v>
      </c>
      <c r="N167" s="58">
        <f t="shared" si="12"/>
        <v>9.0114068441063999</v>
      </c>
    </row>
    <row r="168" spans="1:14" s="7" customFormat="1" ht="13.5" thickBot="1" x14ac:dyDescent="0.25">
      <c r="A168" s="408"/>
      <c r="B168" s="409"/>
      <c r="C168" s="86" t="s">
        <v>8</v>
      </c>
      <c r="D168" s="184">
        <v>74</v>
      </c>
      <c r="E168" s="115"/>
      <c r="F168" s="115"/>
      <c r="G168" s="2"/>
      <c r="H168" s="79"/>
      <c r="J168" s="58">
        <f t="shared" si="14"/>
        <v>0.1752712974829837</v>
      </c>
      <c r="K168" s="58">
        <f t="shared" si="15"/>
        <v>0.95072652519178358</v>
      </c>
      <c r="L168" s="58">
        <f t="shared" si="16"/>
        <v>2.7600143324055284</v>
      </c>
      <c r="M168" s="2">
        <f t="shared" si="13"/>
        <v>52.70000000000018</v>
      </c>
      <c r="N168" s="58">
        <f t="shared" si="12"/>
        <v>8.9753320683111291</v>
      </c>
    </row>
    <row r="169" spans="1:14" s="7" customFormat="1" x14ac:dyDescent="0.2">
      <c r="A169" s="406" t="s">
        <v>144</v>
      </c>
      <c r="B169" s="407"/>
      <c r="C169" s="85" t="s">
        <v>61</v>
      </c>
      <c r="D169" s="266">
        <f>'SDA 6'!$B$16+'SDA 6'!$B$18+'SDA 6'!$C$16+'SDA 6'!$C$18</f>
        <v>0</v>
      </c>
      <c r="E169" s="202" t="s">
        <v>7</v>
      </c>
      <c r="F169" s="203" t="s">
        <v>9</v>
      </c>
      <c r="G169" s="2"/>
      <c r="H169" s="4"/>
      <c r="J169" s="58">
        <f t="shared" si="14"/>
        <v>0.17764456888537181</v>
      </c>
      <c r="K169" s="58">
        <f t="shared" si="15"/>
        <v>0.95692637726046448</v>
      </c>
      <c r="L169" s="58">
        <f t="shared" si="16"/>
        <v>2.7712132711647803</v>
      </c>
      <c r="M169" s="2">
        <f t="shared" si="13"/>
        <v>52.800000000000182</v>
      </c>
      <c r="N169" s="58">
        <f t="shared" ref="N169:N232" si="17">IF(M169&gt;0,1000/M169-10,1000)</f>
        <v>8.9393939393938737</v>
      </c>
    </row>
    <row r="170" spans="1:14" s="7" customFormat="1" ht="16.5" customHeight="1" thickBot="1" x14ac:dyDescent="0.25">
      <c r="A170" s="408"/>
      <c r="B170" s="409"/>
      <c r="C170" s="86" t="s">
        <v>8</v>
      </c>
      <c r="D170" s="185">
        <v>98</v>
      </c>
      <c r="E170" s="183">
        <f>IF($B$14&gt;0,(D165*D166+D167*D168+D169*D170)/$B$14,0)</f>
        <v>0</v>
      </c>
      <c r="F170" s="197">
        <f>IF(E170&gt;0,1000/E170-10,1000)</f>
        <v>1000</v>
      </c>
      <c r="G170" s="2"/>
      <c r="H170" s="4"/>
      <c r="J170" s="58">
        <f t="shared" si="14"/>
        <v>0.18003210002613476</v>
      </c>
      <c r="K170" s="58">
        <f t="shared" si="15"/>
        <v>0.96313980246407815</v>
      </c>
      <c r="L170" s="58">
        <f t="shared" si="16"/>
        <v>2.7824179231634805</v>
      </c>
      <c r="M170" s="2">
        <f t="shared" si="13"/>
        <v>52.900000000000183</v>
      </c>
      <c r="N170" s="58">
        <f t="shared" si="17"/>
        <v>8.9035916824195951</v>
      </c>
    </row>
    <row r="171" spans="1:14" s="7" customFormat="1" x14ac:dyDescent="0.2">
      <c r="A171" s="2"/>
      <c r="B171" s="3"/>
      <c r="C171" s="88"/>
      <c r="D171" s="200"/>
      <c r="E171" s="88"/>
      <c r="F171" s="88"/>
      <c r="G171" s="2"/>
      <c r="H171" s="4"/>
      <c r="J171" s="58">
        <f t="shared" si="14"/>
        <v>0.18243387251959353</v>
      </c>
      <c r="K171" s="58">
        <f t="shared" si="15"/>
        <v>0.96936677097335111</v>
      </c>
      <c r="L171" s="58">
        <f t="shared" si="16"/>
        <v>2.7936282500820182</v>
      </c>
      <c r="M171" s="2">
        <f t="shared" si="13"/>
        <v>53.000000000000185</v>
      </c>
      <c r="N171" s="58">
        <f t="shared" si="17"/>
        <v>8.8679245283018204</v>
      </c>
    </row>
    <row r="172" spans="1:14" s="7" customFormat="1" x14ac:dyDescent="0.2">
      <c r="A172" s="40"/>
      <c r="B172" s="2"/>
      <c r="C172" s="141"/>
      <c r="D172" s="227" t="str">
        <f>$B$4</f>
        <v>2-year storm</v>
      </c>
      <c r="E172" s="227" t="str">
        <f>$C$4</f>
        <v>15-year storm</v>
      </c>
      <c r="F172" s="227" t="str">
        <f>$D$4</f>
        <v>100-year storm</v>
      </c>
      <c r="G172" s="2"/>
      <c r="H172" s="4"/>
      <c r="J172" s="58">
        <f t="shared" si="14"/>
        <v>0.18484986834173214</v>
      </c>
      <c r="K172" s="58">
        <f t="shared" si="15"/>
        <v>0.9756072532633191</v>
      </c>
      <c r="L172" s="58">
        <f t="shared" si="16"/>
        <v>2.8048442138904313</v>
      </c>
      <c r="M172" s="2">
        <f t="shared" si="13"/>
        <v>53.100000000000186</v>
      </c>
      <c r="N172" s="58">
        <f t="shared" si="17"/>
        <v>8.8323917137475796</v>
      </c>
    </row>
    <row r="173" spans="1:14" s="7" customFormat="1" x14ac:dyDescent="0.2">
      <c r="A173" s="404" t="s">
        <v>213</v>
      </c>
      <c r="B173" s="404"/>
      <c r="C173" s="405"/>
      <c r="D173" s="197">
        <f>IF(B$5&gt;0.2*($F170),(B$5-0.2*($F170))^2/(B$5+0.8*($F170)),0)</f>
        <v>0</v>
      </c>
      <c r="E173" s="197">
        <f>IF(C$5&gt;0.2*($F170),(C$5-0.2*($F170))^2/(C$5+0.8*($F170)),0)</f>
        <v>0</v>
      </c>
      <c r="F173" s="197">
        <f>IF(D$5&gt;0.2*($F170),(D$5-0.2*($F170))^2/(D$5+0.8*($F170)),0)</f>
        <v>0</v>
      </c>
      <c r="G173" s="2"/>
      <c r="H173" s="4"/>
      <c r="J173" s="58">
        <f t="shared" si="14"/>
        <v>0.18728006982780021</v>
      </c>
      <c r="K173" s="58">
        <f t="shared" si="15"/>
        <v>0.98186122011064081</v>
      </c>
      <c r="L173" s="58">
        <f t="shared" si="16"/>
        <v>2.8160657768456909</v>
      </c>
      <c r="M173" s="2">
        <f t="shared" si="13"/>
        <v>53.200000000000188</v>
      </c>
      <c r="N173" s="58">
        <f t="shared" si="17"/>
        <v>8.7969924812029419</v>
      </c>
    </row>
    <row r="174" spans="1:14" s="7" customFormat="1" x14ac:dyDescent="0.2">
      <c r="A174" s="404" t="s">
        <v>214</v>
      </c>
      <c r="B174" s="404"/>
      <c r="C174" s="405"/>
      <c r="D174" s="197">
        <f>IF($B$14&gt;0,D173-$C$14*12/$B$14,D173)</f>
        <v>0</v>
      </c>
      <c r="E174" s="197">
        <f>IF($B$14&gt;0,E173-$C$14*12/$B$14,E173)</f>
        <v>0</v>
      </c>
      <c r="F174" s="197">
        <f>IF($B$14&gt;0,F173-$C$14*12/$B$14,F173)</f>
        <v>0</v>
      </c>
      <c r="G174" s="2"/>
      <c r="H174" s="4"/>
      <c r="J174" s="58">
        <f t="shared" si="14"/>
        <v>0.18972445966994453</v>
      </c>
      <c r="K174" s="58">
        <f t="shared" si="15"/>
        <v>0.98812864259093203</v>
      </c>
      <c r="L174" s="58">
        <f t="shared" si="16"/>
        <v>2.8272929014890043</v>
      </c>
      <c r="M174" s="2">
        <f t="shared" si="13"/>
        <v>53.300000000000189</v>
      </c>
      <c r="N174" s="58">
        <f t="shared" si="17"/>
        <v>8.7617260787991817</v>
      </c>
    </row>
    <row r="175" spans="1:14" s="7" customFormat="1" x14ac:dyDescent="0.2">
      <c r="A175" s="260"/>
      <c r="B175" s="260"/>
      <c r="C175" s="29" t="s">
        <v>28</v>
      </c>
      <c r="D175" s="198">
        <f>IF(D174&gt;0,VLOOKUP(D174,J$25:$N$639,4),0)</f>
        <v>0</v>
      </c>
      <c r="E175" s="198">
        <f>IF(E174&gt;0,VLOOKUP(E174,K$25:$N$639,3),0)</f>
        <v>0</v>
      </c>
      <c r="F175" s="198">
        <f>IF(F174&gt;0,VLOOKUP(F174,L$25:$N$639,2),0)</f>
        <v>0</v>
      </c>
      <c r="G175" s="2"/>
      <c r="H175" s="4"/>
      <c r="J175" s="58">
        <f t="shared" si="14"/>
        <v>0.19218302091487413</v>
      </c>
      <c r="K175" s="58">
        <f t="shared" si="15"/>
        <v>0.99440949207613882</v>
      </c>
      <c r="L175" s="58">
        <f t="shared" si="16"/>
        <v>2.8385255506431561</v>
      </c>
      <c r="M175" s="2">
        <f t="shared" si="13"/>
        <v>53.40000000000019</v>
      </c>
      <c r="N175" s="58">
        <f t="shared" si="17"/>
        <v>8.7265917602995593</v>
      </c>
    </row>
    <row r="176" spans="1:14" s="7" customFormat="1" x14ac:dyDescent="0.2">
      <c r="A176" s="2"/>
      <c r="B176" s="2"/>
      <c r="C176" s="88"/>
      <c r="D176" s="200"/>
      <c r="E176" s="88"/>
      <c r="F176" s="200"/>
      <c r="G176" s="2"/>
      <c r="H176" s="82"/>
      <c r="J176" s="58">
        <f t="shared" si="14"/>
        <v>0.19465573696155805</v>
      </c>
      <c r="K176" s="58">
        <f t="shared" si="15"/>
        <v>1.0007037402319361</v>
      </c>
      <c r="L176" s="58">
        <f t="shared" si="16"/>
        <v>2.8497636874098764</v>
      </c>
      <c r="M176" s="2">
        <f t="shared" si="13"/>
        <v>53.500000000000192</v>
      </c>
      <c r="N176" s="58">
        <f t="shared" si="17"/>
        <v>8.6915887850466618</v>
      </c>
    </row>
    <row r="177" spans="1:14" s="7" customFormat="1" x14ac:dyDescent="0.2">
      <c r="A177" s="410" t="s">
        <v>163</v>
      </c>
      <c r="B177" s="411"/>
      <c r="C177" s="411"/>
      <c r="D177" s="411"/>
      <c r="E177" s="411"/>
      <c r="F177" s="412"/>
      <c r="G177" s="2"/>
      <c r="H177" s="4"/>
      <c r="J177" s="58">
        <f t="shared" si="14"/>
        <v>0.19714259155895131</v>
      </c>
      <c r="K177" s="58">
        <f t="shared" si="15"/>
        <v>1.007011359015155</v>
      </c>
      <c r="L177" s="58">
        <f t="shared" si="16"/>
        <v>2.8610072751672351</v>
      </c>
      <c r="M177" s="2">
        <f t="shared" ref="M177:M240" si="18">M176+0.1</f>
        <v>53.600000000000193</v>
      </c>
      <c r="N177" s="58">
        <f t="shared" si="17"/>
        <v>8.6567164179103813</v>
      </c>
    </row>
    <row r="178" spans="1:14" s="7" customFormat="1" ht="13.5" thickBot="1" x14ac:dyDescent="0.25">
      <c r="A178" s="424" t="s">
        <v>26</v>
      </c>
      <c r="B178" s="425"/>
      <c r="C178" s="263"/>
      <c r="D178" s="263" t="s">
        <v>27</v>
      </c>
      <c r="E178" s="51"/>
      <c r="F178" s="51"/>
      <c r="G178" s="2"/>
      <c r="H178" s="4"/>
      <c r="J178" s="58">
        <f t="shared" si="14"/>
        <v>0.19964356880375528</v>
      </c>
      <c r="K178" s="58">
        <f t="shared" si="15"/>
        <v>1.0133323206712435</v>
      </c>
      <c r="L178" s="58">
        <f t="shared" si="16"/>
        <v>2.8722562775670726</v>
      </c>
      <c r="M178" s="2">
        <f t="shared" si="18"/>
        <v>53.700000000000195</v>
      </c>
      <c r="N178" s="58">
        <f t="shared" si="17"/>
        <v>8.6219739292364324</v>
      </c>
    </row>
    <row r="179" spans="1:14" s="7" customFormat="1" x14ac:dyDescent="0.2">
      <c r="A179" s="415" t="s">
        <v>24</v>
      </c>
      <c r="B179" s="407"/>
      <c r="C179" s="85" t="s">
        <v>61</v>
      </c>
      <c r="D179" s="266">
        <f>'SDA 7'!$B$6</f>
        <v>0</v>
      </c>
      <c r="E179" s="16"/>
      <c r="F179" s="16"/>
      <c r="G179" s="2"/>
      <c r="H179" s="4"/>
      <c r="J179" s="58">
        <f t="shared" si="14"/>
        <v>0.20215865313820588</v>
      </c>
      <c r="K179" s="58">
        <f t="shared" si="15"/>
        <v>1.0196665977317527</v>
      </c>
      <c r="L179" s="58">
        <f t="shared" si="16"/>
        <v>2.883510658532455</v>
      </c>
      <c r="M179" s="2">
        <f t="shared" si="18"/>
        <v>53.800000000000196</v>
      </c>
      <c r="N179" s="58">
        <f t="shared" si="17"/>
        <v>8.5873605947954701</v>
      </c>
    </row>
    <row r="180" spans="1:14" s="7" customFormat="1" ht="13.5" thickBot="1" x14ac:dyDescent="0.25">
      <c r="A180" s="408"/>
      <c r="B180" s="409"/>
      <c r="C180" s="86" t="s">
        <v>8</v>
      </c>
      <c r="D180" s="184">
        <v>70</v>
      </c>
      <c r="E180" s="115"/>
      <c r="F180" s="115"/>
      <c r="G180" s="2"/>
      <c r="H180" s="82"/>
      <c r="J180" s="58">
        <f t="shared" si="14"/>
        <v>0.2046878293478927</v>
      </c>
      <c r="K180" s="58">
        <f t="shared" si="15"/>
        <v>1.02601416301185</v>
      </c>
      <c r="L180" s="58">
        <f t="shared" si="16"/>
        <v>2.8947703822551545</v>
      </c>
      <c r="M180" s="2">
        <f t="shared" si="18"/>
        <v>53.900000000000198</v>
      </c>
      <c r="N180" s="58">
        <f t="shared" si="17"/>
        <v>8.5528756957327694</v>
      </c>
    </row>
    <row r="181" spans="1:14" s="7" customFormat="1" x14ac:dyDescent="0.2">
      <c r="A181" s="415" t="s">
        <v>30</v>
      </c>
      <c r="B181" s="407"/>
      <c r="C181" s="85" t="s">
        <v>61</v>
      </c>
      <c r="D181" s="266">
        <f>'SDA 7'!$B$7</f>
        <v>0</v>
      </c>
      <c r="E181" s="16"/>
      <c r="F181" s="16"/>
      <c r="G181" s="2"/>
      <c r="H181" s="4"/>
      <c r="J181" s="58">
        <f t="shared" si="14"/>
        <v>0.20723108255960901</v>
      </c>
      <c r="K181" s="58">
        <f t="shared" si="15"/>
        <v>1.0323749896078671</v>
      </c>
      <c r="L181" s="58">
        <f t="shared" si="16"/>
        <v>2.9060354131931656</v>
      </c>
      <c r="M181" s="2">
        <f t="shared" si="18"/>
        <v>54.000000000000199</v>
      </c>
      <c r="N181" s="58">
        <f t="shared" si="17"/>
        <v>8.5185185185184515</v>
      </c>
    </row>
    <row r="182" spans="1:14" ht="12.75" customHeight="1" thickBot="1" x14ac:dyDescent="0.25">
      <c r="A182" s="408"/>
      <c r="B182" s="409"/>
      <c r="C182" s="86" t="s">
        <v>8</v>
      </c>
      <c r="D182" s="184">
        <v>74</v>
      </c>
      <c r="E182" s="115"/>
      <c r="F182" s="115"/>
      <c r="I182" s="7"/>
      <c r="J182" s="58">
        <f t="shared" si="14"/>
        <v>0.20978839823923001</v>
      </c>
      <c r="K182" s="58">
        <f t="shared" si="15"/>
        <v>1.0387490508948676</v>
      </c>
      <c r="L182" s="58">
        <f t="shared" si="16"/>
        <v>2.917305716068241</v>
      </c>
      <c r="M182" s="2">
        <f t="shared" si="18"/>
        <v>54.1000000000002</v>
      </c>
      <c r="N182" s="58">
        <f t="shared" si="17"/>
        <v>8.4842883548982684</v>
      </c>
    </row>
    <row r="183" spans="1:14" x14ac:dyDescent="0.2">
      <c r="A183" s="406" t="s">
        <v>144</v>
      </c>
      <c r="B183" s="407"/>
      <c r="C183" s="85" t="s">
        <v>61</v>
      </c>
      <c r="D183" s="266">
        <f>'SDA 7'!$B$8+'SDA 7'!$B$9</f>
        <v>0</v>
      </c>
      <c r="E183" s="202" t="s">
        <v>7</v>
      </c>
      <c r="F183" s="203" t="s">
        <v>9</v>
      </c>
      <c r="I183" s="7"/>
      <c r="J183" s="58">
        <f t="shared" si="14"/>
        <v>0.21235976218961936</v>
      </c>
      <c r="K183" s="58">
        <f t="shared" si="15"/>
        <v>1.0451363205242452</v>
      </c>
      <c r="L183" s="58">
        <f t="shared" si="16"/>
        <v>2.9285812558634592</v>
      </c>
      <c r="M183" s="2">
        <f t="shared" si="18"/>
        <v>54.200000000000202</v>
      </c>
      <c r="N183" s="58">
        <f t="shared" si="17"/>
        <v>8.4501845018449515</v>
      </c>
    </row>
    <row r="184" spans="1:14" ht="13.5" thickBot="1" x14ac:dyDescent="0.25">
      <c r="A184" s="408"/>
      <c r="B184" s="409"/>
      <c r="C184" s="86" t="s">
        <v>8</v>
      </c>
      <c r="D184" s="185">
        <v>98</v>
      </c>
      <c r="E184" s="183">
        <f>IF($B$15&gt;0,(D179*D180+D181*D182+D183*D184)/$B$15,0)</f>
        <v>0</v>
      </c>
      <c r="F184" s="197">
        <f>IF(E184&gt;0,1000/E184-10,1000)</f>
        <v>1000</v>
      </c>
      <c r="I184" s="7"/>
      <c r="J184" s="58">
        <f t="shared" si="14"/>
        <v>0.21494516054856727</v>
      </c>
      <c r="K184" s="58">
        <f t="shared" si="15"/>
        <v>1.0515367724213522</v>
      </c>
      <c r="L184" s="58">
        <f t="shared" si="16"/>
        <v>2.9398619978208198</v>
      </c>
      <c r="M184" s="2">
        <f t="shared" si="18"/>
        <v>54.300000000000203</v>
      </c>
      <c r="N184" s="58">
        <f t="shared" si="17"/>
        <v>8.4162062615100588</v>
      </c>
    </row>
    <row r="185" spans="1:14" x14ac:dyDescent="0.2">
      <c r="B185" s="3"/>
      <c r="F185" s="88"/>
      <c r="I185" s="7"/>
      <c r="J185" s="58">
        <f t="shared" si="14"/>
        <v>0.21754457978675343</v>
      </c>
      <c r="K185" s="58">
        <f t="shared" si="15"/>
        <v>1.0579503807831483</v>
      </c>
      <c r="L185" s="58">
        <f t="shared" si="16"/>
        <v>2.9511479074388607</v>
      </c>
      <c r="M185" s="2">
        <f t="shared" si="18"/>
        <v>54.400000000000205</v>
      </c>
      <c r="N185" s="58">
        <f t="shared" si="17"/>
        <v>8.3823529411764</v>
      </c>
    </row>
    <row r="186" spans="1:14" ht="15" customHeight="1" thickBot="1" x14ac:dyDescent="0.25">
      <c r="A186" s="413" t="s">
        <v>26</v>
      </c>
      <c r="B186" s="426"/>
      <c r="C186" s="264"/>
      <c r="D186" s="268" t="s">
        <v>27</v>
      </c>
      <c r="E186" s="51"/>
      <c r="F186" s="51"/>
      <c r="I186" s="7"/>
      <c r="J186" s="58">
        <f t="shared" si="14"/>
        <v>0.22015800670574123</v>
      </c>
      <c r="K186" s="58">
        <f t="shared" si="15"/>
        <v>1.0643771200758807</v>
      </c>
      <c r="L186" s="58">
        <f t="shared" si="16"/>
        <v>2.9624389504703061</v>
      </c>
      <c r="M186" s="2">
        <f t="shared" si="18"/>
        <v>54.500000000000206</v>
      </c>
      <c r="N186" s="58">
        <f t="shared" si="17"/>
        <v>8.3486238532109383</v>
      </c>
    </row>
    <row r="187" spans="1:14" x14ac:dyDescent="0.2">
      <c r="A187" s="415" t="s">
        <v>24</v>
      </c>
      <c r="B187" s="407"/>
      <c r="C187" s="85" t="s">
        <v>61</v>
      </c>
      <c r="D187" s="265">
        <f>'SDA 7'!$B$14+'SDA 7'!$C$14</f>
        <v>0</v>
      </c>
      <c r="E187" s="16"/>
      <c r="F187" s="16"/>
      <c r="I187" s="7"/>
      <c r="J187" s="58">
        <f t="shared" si="14"/>
        <v>0.22278542843599761</v>
      </c>
      <c r="K187" s="58">
        <f t="shared" si="15"/>
        <v>1.0708169650327879</v>
      </c>
      <c r="L187" s="58">
        <f t="shared" si="16"/>
        <v>2.9737350929197373</v>
      </c>
      <c r="M187" s="2">
        <f t="shared" si="18"/>
        <v>54.600000000000207</v>
      </c>
      <c r="N187" s="58">
        <f t="shared" si="17"/>
        <v>8.3150183150182464</v>
      </c>
    </row>
    <row r="188" spans="1:14" ht="13.5" thickBot="1" x14ac:dyDescent="0.25">
      <c r="A188" s="408"/>
      <c r="B188" s="409"/>
      <c r="C188" s="86" t="s">
        <v>8</v>
      </c>
      <c r="D188" s="184">
        <v>70</v>
      </c>
      <c r="E188" s="115"/>
      <c r="F188" s="115"/>
      <c r="I188" s="7"/>
      <c r="J188" s="58">
        <f t="shared" si="14"/>
        <v>0.22542683243494169</v>
      </c>
      <c r="K188" s="58">
        <f t="shared" si="15"/>
        <v>1.0772698906518305</v>
      </c>
      <c r="L188" s="58">
        <f t="shared" si="16"/>
        <v>2.9850363010412928</v>
      </c>
      <c r="M188" s="2">
        <f t="shared" si="18"/>
        <v>54.700000000000209</v>
      </c>
      <c r="N188" s="58">
        <f t="shared" si="17"/>
        <v>8.2815356489944456</v>
      </c>
    </row>
    <row r="189" spans="1:14" x14ac:dyDescent="0.2">
      <c r="A189" s="415" t="s">
        <v>30</v>
      </c>
      <c r="B189" s="407"/>
      <c r="C189" s="85" t="s">
        <v>61</v>
      </c>
      <c r="D189" s="266">
        <f>'SDA 7'!$B$15+'SDA 7'!$C$15</f>
        <v>0</v>
      </c>
      <c r="E189" s="16"/>
      <c r="F189" s="16"/>
      <c r="I189" s="7"/>
      <c r="J189" s="58">
        <f t="shared" si="14"/>
        <v>0.22808220648501906</v>
      </c>
      <c r="K189" s="58">
        <f t="shared" si="15"/>
        <v>1.0837358721934436</v>
      </c>
      <c r="L189" s="58">
        <f t="shared" si="16"/>
        <v>2.9963425413363871</v>
      </c>
      <c r="M189" s="2">
        <f t="shared" si="18"/>
        <v>54.80000000000021</v>
      </c>
      <c r="N189" s="58">
        <f t="shared" si="17"/>
        <v>8.2481751824816811</v>
      </c>
    </row>
    <row r="190" spans="1:14" ht="13.5" thickBot="1" x14ac:dyDescent="0.25">
      <c r="A190" s="408"/>
      <c r="B190" s="409"/>
      <c r="C190" s="86" t="s">
        <v>8</v>
      </c>
      <c r="D190" s="184">
        <v>74</v>
      </c>
      <c r="E190" s="115"/>
      <c r="F190" s="115"/>
      <c r="I190" s="7"/>
      <c r="J190" s="58">
        <f t="shared" si="14"/>
        <v>0.2307515386918042</v>
      </c>
      <c r="K190" s="58">
        <f t="shared" si="15"/>
        <v>1.0902148851783215</v>
      </c>
      <c r="L190" s="58">
        <f t="shared" si="16"/>
        <v>3.0076537805514643</v>
      </c>
      <c r="M190" s="2">
        <f t="shared" si="18"/>
        <v>54.900000000000212</v>
      </c>
      <c r="N190" s="58">
        <f t="shared" si="17"/>
        <v>8.2149362477230632</v>
      </c>
    </row>
    <row r="191" spans="1:14" ht="14.25" customHeight="1" x14ac:dyDescent="0.2">
      <c r="A191" s="406" t="s">
        <v>144</v>
      </c>
      <c r="B191" s="407"/>
      <c r="C191" s="85" t="s">
        <v>61</v>
      </c>
      <c r="D191" s="266">
        <f>'SDA 7'!$B$16+'SDA 7'!$B$18+'SDA 7'!$C$16+'SDA 7'!$C$18</f>
        <v>0</v>
      </c>
      <c r="E191" s="202" t="s">
        <v>7</v>
      </c>
      <c r="F191" s="203" t="s">
        <v>9</v>
      </c>
      <c r="I191" s="7"/>
      <c r="J191" s="58">
        <f t="shared" si="14"/>
        <v>0.23343481748212933</v>
      </c>
      <c r="K191" s="58">
        <f t="shared" si="15"/>
        <v>1.0967069053852176</v>
      </c>
      <c r="L191" s="58">
        <f t="shared" si="16"/>
        <v>3.0189699856757626</v>
      </c>
      <c r="M191" s="2">
        <f t="shared" si="18"/>
        <v>55.000000000000213</v>
      </c>
      <c r="N191" s="58">
        <f t="shared" si="17"/>
        <v>8.1818181818181124</v>
      </c>
    </row>
    <row r="192" spans="1:14" ht="14.25" customHeight="1" thickBot="1" x14ac:dyDescent="0.25">
      <c r="A192" s="408"/>
      <c r="B192" s="409"/>
      <c r="C192" s="86" t="s">
        <v>8</v>
      </c>
      <c r="D192" s="185">
        <v>98</v>
      </c>
      <c r="E192" s="183">
        <f>IF($B$15&gt;0,(D187*D188+D189*D190+D191*D192)/$B$15,0)</f>
        <v>0</v>
      </c>
      <c r="F192" s="197">
        <f>IF(E192&gt;0,1000/E192-10,1000)</f>
        <v>1000</v>
      </c>
      <c r="I192" s="7"/>
      <c r="J192" s="58">
        <f t="shared" si="14"/>
        <v>0.23613203160223836</v>
      </c>
      <c r="K192" s="58">
        <f t="shared" si="15"/>
        <v>1.1032119088487775</v>
      </c>
      <c r="L192" s="58">
        <f t="shared" si="16"/>
        <v>3.0302911239391186</v>
      </c>
      <c r="M192" s="2">
        <f t="shared" si="18"/>
        <v>55.100000000000215</v>
      </c>
      <c r="N192" s="58">
        <f t="shared" si="17"/>
        <v>8.1488203266786954</v>
      </c>
    </row>
    <row r="193" spans="1:14" ht="14.25" customHeight="1" x14ac:dyDescent="0.2">
      <c r="B193" s="3"/>
      <c r="F193" s="88"/>
      <c r="I193" s="7"/>
      <c r="J193" s="58">
        <f t="shared" si="14"/>
        <v>0.23884317011596795</v>
      </c>
      <c r="K193" s="58">
        <f t="shared" si="15"/>
        <v>1.1097298718573898</v>
      </c>
      <c r="L193" s="58">
        <f t="shared" si="16"/>
        <v>3.0416171628097826</v>
      </c>
      <c r="M193" s="2">
        <f t="shared" si="18"/>
        <v>55.200000000000216</v>
      </c>
      <c r="N193" s="58">
        <f t="shared" si="17"/>
        <v>8.1159420289854367</v>
      </c>
    </row>
    <row r="194" spans="1:14" ht="14.25" customHeight="1" x14ac:dyDescent="0.2">
      <c r="A194" s="40"/>
      <c r="C194" s="141"/>
      <c r="D194" s="227" t="str">
        <f>$B$4</f>
        <v>2-year storm</v>
      </c>
      <c r="E194" s="227" t="str">
        <f>$C$4</f>
        <v>15-year storm</v>
      </c>
      <c r="F194" s="227" t="str">
        <f>$D$4</f>
        <v>100-year storm</v>
      </c>
      <c r="I194" s="7"/>
      <c r="J194" s="58">
        <f t="shared" si="14"/>
        <v>0.24156822240295334</v>
      </c>
      <c r="K194" s="58">
        <f t="shared" si="15"/>
        <v>1.1162607709510632</v>
      </c>
      <c r="L194" s="58">
        <f t="shared" si="16"/>
        <v>3.0529480699922651</v>
      </c>
      <c r="M194" s="2">
        <f t="shared" si="18"/>
        <v>55.300000000000217</v>
      </c>
      <c r="N194" s="58">
        <f t="shared" si="17"/>
        <v>8.0831826401445959</v>
      </c>
    </row>
    <row r="195" spans="1:14" ht="14.25" customHeight="1" x14ac:dyDescent="0.2">
      <c r="A195" s="404" t="s">
        <v>213</v>
      </c>
      <c r="B195" s="404"/>
      <c r="C195" s="405"/>
      <c r="D195" s="197">
        <f>IF(B$5&gt;0.2*($F192),(B$5-0.2*($F192))^2/(B$5+0.8*($F192)),0)</f>
        <v>0</v>
      </c>
      <c r="E195" s="197">
        <f>IF(C$5&gt;0.2*($F192),(C$5-0.2*($F192))^2/(C$5+0.8*($F192)),0)</f>
        <v>0</v>
      </c>
      <c r="F195" s="197">
        <f>IF(D$5&gt;0.2*($F192),(D$5-0.2*($F192))^2/(D$5+0.8*($F192)),0)</f>
        <v>0</v>
      </c>
      <c r="I195" s="7"/>
      <c r="J195" s="58">
        <f t="shared" si="14"/>
        <v>0.24430717815686046</v>
      </c>
      <c r="K195" s="58">
        <f t="shared" si="15"/>
        <v>1.1228045829193289</v>
      </c>
      <c r="L195" s="58">
        <f t="shared" si="16"/>
        <v>3.0642838134252033</v>
      </c>
      <c r="M195" s="2">
        <f t="shared" si="18"/>
        <v>55.400000000000219</v>
      </c>
      <c r="N195" s="58">
        <f t="shared" si="17"/>
        <v>8.050541516245417</v>
      </c>
    </row>
    <row r="196" spans="1:14" ht="20.25" customHeight="1" x14ac:dyDescent="0.2">
      <c r="A196" s="404" t="s">
        <v>214</v>
      </c>
      <c r="B196" s="404"/>
      <c r="C196" s="405"/>
      <c r="D196" s="197">
        <f>IF($B$15&gt;0,D195-$C$15*12/$B$15,D195)</f>
        <v>0</v>
      </c>
      <c r="E196" s="197">
        <f>IF($B$15&gt;0,E195-$C$15*12/$B$15,E195)</f>
        <v>0</v>
      </c>
      <c r="F196" s="197">
        <f>IF($B$15&gt;0,F195-$C$15*12/$B$15,F195)</f>
        <v>0</v>
      </c>
      <c r="I196" s="7"/>
      <c r="J196" s="58">
        <f t="shared" si="14"/>
        <v>0.24706002738364208</v>
      </c>
      <c r="K196" s="58">
        <f t="shared" si="15"/>
        <v>1.1293612847991612</v>
      </c>
      <c r="L196" s="58">
        <f t="shared" si="16"/>
        <v>3.0756243612792509</v>
      </c>
      <c r="M196" s="2">
        <f t="shared" si="18"/>
        <v>55.50000000000022</v>
      </c>
      <c r="N196" s="58">
        <f t="shared" si="17"/>
        <v>8.0180180180179477</v>
      </c>
    </row>
    <row r="197" spans="1:14" ht="14.25" customHeight="1" x14ac:dyDescent="0.2">
      <c r="A197" s="260"/>
      <c r="B197" s="260"/>
      <c r="C197" s="29" t="s">
        <v>28</v>
      </c>
      <c r="D197" s="198">
        <f>IF(D196&gt;0,VLOOKUP(D196,J$25:$N$639,4),0)</f>
        <v>0</v>
      </c>
      <c r="E197" s="198">
        <f>IF(E196&gt;0,VLOOKUP(E196,K$25:$N$639,3),0)</f>
        <v>0</v>
      </c>
      <c r="F197" s="198">
        <f>IF(F196&gt;0,VLOOKUP(F196,L$25:$N$639,2),0)</f>
        <v>0</v>
      </c>
      <c r="J197" s="58">
        <f t="shared" si="14"/>
        <v>0.24982676039981946</v>
      </c>
      <c r="K197" s="58">
        <f t="shared" si="15"/>
        <v>1.1359308538729269</v>
      </c>
      <c r="L197" s="58">
        <f t="shared" si="16"/>
        <v>3.0869696819549977</v>
      </c>
      <c r="M197" s="2">
        <f t="shared" si="18"/>
        <v>55.600000000000222</v>
      </c>
      <c r="N197" s="58">
        <f t="shared" si="17"/>
        <v>7.9856115107912942</v>
      </c>
    </row>
    <row r="198" spans="1:14" ht="14.25" customHeight="1" x14ac:dyDescent="0.2">
      <c r="J198" s="58">
        <f t="shared" si="14"/>
        <v>0.25260736783078752</v>
      </c>
      <c r="K198" s="58">
        <f t="shared" si="15"/>
        <v>1.1425132676663499</v>
      </c>
      <c r="L198" s="58">
        <f t="shared" si="16"/>
        <v>3.0983197440808921</v>
      </c>
      <c r="M198" s="2">
        <f t="shared" si="18"/>
        <v>55.700000000000223</v>
      </c>
      <c r="N198" s="58">
        <f t="shared" si="17"/>
        <v>7.9533213644523535</v>
      </c>
    </row>
    <row r="199" spans="1:14" ht="14.25" customHeight="1" x14ac:dyDescent="0.2">
      <c r="A199" s="410" t="s">
        <v>164</v>
      </c>
      <c r="B199" s="411"/>
      <c r="C199" s="411"/>
      <c r="D199" s="411"/>
      <c r="E199" s="411"/>
      <c r="F199" s="412"/>
      <c r="J199" s="58">
        <f t="shared" si="14"/>
        <v>0.25540184060914656</v>
      </c>
      <c r="K199" s="58">
        <f t="shared" si="15"/>
        <v>1.1491085039465077</v>
      </c>
      <c r="L199" s="58">
        <f t="shared" si="16"/>
        <v>3.109674516511213</v>
      </c>
      <c r="M199" s="2">
        <f t="shared" si="18"/>
        <v>55.800000000000225</v>
      </c>
      <c r="N199" s="58">
        <f t="shared" si="17"/>
        <v>7.9211469534049463</v>
      </c>
    </row>
    <row r="200" spans="1:14" ht="14.25" customHeight="1" thickBot="1" x14ac:dyDescent="0.25">
      <c r="A200" s="427" t="s">
        <v>26</v>
      </c>
      <c r="B200" s="428"/>
      <c r="C200" s="39"/>
      <c r="D200" s="263" t="s">
        <v>27</v>
      </c>
      <c r="E200" s="51"/>
      <c r="F200" s="51"/>
      <c r="J200" s="58">
        <f t="shared" si="14"/>
        <v>0.25821016997305468</v>
      </c>
      <c r="K200" s="58">
        <f t="shared" si="15"/>
        <v>1.1557165407198413</v>
      </c>
      <c r="L200" s="58">
        <f t="shared" si="16"/>
        <v>3.1210339683240442</v>
      </c>
      <c r="M200" s="2">
        <f t="shared" si="18"/>
        <v>55.900000000000226</v>
      </c>
      <c r="N200" s="58">
        <f t="shared" si="17"/>
        <v>7.8890876565294441</v>
      </c>
    </row>
    <row r="201" spans="1:14" ht="14.25" customHeight="1" x14ac:dyDescent="0.2">
      <c r="A201" s="415" t="s">
        <v>24</v>
      </c>
      <c r="B201" s="407"/>
      <c r="C201" s="85" t="s">
        <v>61</v>
      </c>
      <c r="D201" s="266">
        <f>'SDA 8'!$B$6</f>
        <v>0</v>
      </c>
      <c r="E201" s="16"/>
      <c r="F201" s="16"/>
      <c r="J201" s="58">
        <f t="shared" si="14"/>
        <v>0.26103234746460624</v>
      </c>
      <c r="K201" s="58">
        <f t="shared" si="15"/>
        <v>1.1623373562301889</v>
      </c>
      <c r="L201" s="58">
        <f t="shared" si="16"/>
        <v>3.1323980688192705</v>
      </c>
      <c r="M201" s="2">
        <f t="shared" si="18"/>
        <v>56.000000000000227</v>
      </c>
      <c r="N201" s="58">
        <f t="shared" si="17"/>
        <v>7.857142857142783</v>
      </c>
    </row>
    <row r="202" spans="1:14" ht="14.25" customHeight="1" thickBot="1" x14ac:dyDescent="0.25">
      <c r="A202" s="408"/>
      <c r="B202" s="409"/>
      <c r="C202" s="86" t="s">
        <v>8</v>
      </c>
      <c r="D202" s="184">
        <v>70</v>
      </c>
      <c r="E202" s="115"/>
      <c r="F202" s="115"/>
      <c r="J202" s="58">
        <f t="shared" si="14"/>
        <v>0.26386836492823318</v>
      </c>
      <c r="K202" s="58">
        <f t="shared" si="15"/>
        <v>1.1689709289568462</v>
      </c>
      <c r="L202" s="58">
        <f t="shared" si="16"/>
        <v>3.1437667875166118</v>
      </c>
      <c r="M202" s="2">
        <f t="shared" si="18"/>
        <v>56.100000000000229</v>
      </c>
      <c r="N202" s="58">
        <f t="shared" si="17"/>
        <v>7.8253119429589297</v>
      </c>
    </row>
    <row r="203" spans="1:14" ht="14.25" customHeight="1" x14ac:dyDescent="0.2">
      <c r="A203" s="415" t="s">
        <v>30</v>
      </c>
      <c r="B203" s="407"/>
      <c r="C203" s="85" t="s">
        <v>61</v>
      </c>
      <c r="D203" s="266">
        <f>'SDA 8'!$B$7</f>
        <v>0</v>
      </c>
      <c r="E203" s="16"/>
      <c r="F203" s="16"/>
      <c r="H203" s="2"/>
      <c r="J203" s="58">
        <f t="shared" si="14"/>
        <v>0.26671821450913019</v>
      </c>
      <c r="K203" s="58">
        <f t="shared" si="15"/>
        <v>1.1756172376126421</v>
      </c>
      <c r="L203" s="58">
        <f t="shared" si="16"/>
        <v>3.1551400941536585</v>
      </c>
      <c r="M203" s="2">
        <f t="shared" si="18"/>
        <v>56.20000000000023</v>
      </c>
      <c r="N203" s="58">
        <f t="shared" si="17"/>
        <v>7.7935943060497479</v>
      </c>
    </row>
    <row r="204" spans="1:14" ht="14.25" customHeight="1" thickBot="1" x14ac:dyDescent="0.25">
      <c r="A204" s="408"/>
      <c r="B204" s="409"/>
      <c r="C204" s="86" t="s">
        <v>8</v>
      </c>
      <c r="D204" s="184">
        <v>74</v>
      </c>
      <c r="E204" s="115"/>
      <c r="F204" s="115"/>
      <c r="H204" s="2"/>
      <c r="J204" s="58">
        <f t="shared" si="14"/>
        <v>0.26958188865170041</v>
      </c>
      <c r="K204" s="58">
        <f t="shared" si="15"/>
        <v>1.1822762611420345</v>
      </c>
      <c r="L204" s="58">
        <f t="shared" si="16"/>
        <v>3.1665179586839374</v>
      </c>
      <c r="M204" s="2">
        <f t="shared" si="18"/>
        <v>56.300000000000232</v>
      </c>
      <c r="N204" s="58">
        <f t="shared" si="17"/>
        <v>7.76198934280632</v>
      </c>
    </row>
    <row r="205" spans="1:14" x14ac:dyDescent="0.2">
      <c r="A205" s="406" t="s">
        <v>144</v>
      </c>
      <c r="B205" s="407"/>
      <c r="C205" s="85" t="s">
        <v>61</v>
      </c>
      <c r="D205" s="266">
        <f>'SDA 8'!$B$8+'SDA 8'!$B$9</f>
        <v>0</v>
      </c>
      <c r="E205" s="202" t="s">
        <v>7</v>
      </c>
      <c r="F205" s="203" t="s">
        <v>9</v>
      </c>
      <c r="H205" s="2"/>
      <c r="J205" s="58">
        <f t="shared" si="14"/>
        <v>0.27245938009802695</v>
      </c>
      <c r="K205" s="58">
        <f t="shared" si="15"/>
        <v>1.1889479787192339</v>
      </c>
      <c r="L205" s="58">
        <f t="shared" si="16"/>
        <v>3.1779003512750013</v>
      </c>
      <c r="M205" s="2">
        <f t="shared" si="18"/>
        <v>56.400000000000233</v>
      </c>
      <c r="N205" s="58">
        <f t="shared" si="17"/>
        <v>7.7304964539006349</v>
      </c>
    </row>
    <row r="206" spans="1:14" ht="13.5" thickBot="1" x14ac:dyDescent="0.25">
      <c r="A206" s="408"/>
      <c r="B206" s="409"/>
      <c r="C206" s="86" t="s">
        <v>8</v>
      </c>
      <c r="D206" s="185">
        <v>98</v>
      </c>
      <c r="E206" s="183">
        <f>IF($B$16&gt;0,(D201*D202+D203*D204+D205*D206)/$B$16,0)</f>
        <v>0</v>
      </c>
      <c r="F206" s="197">
        <f>IF(E206&gt;0,1000/E206-10,1000)</f>
        <v>1000</v>
      </c>
      <c r="H206" s="2"/>
      <c r="J206" s="58">
        <f t="shared" si="14"/>
        <v>0.27535068188636497</v>
      </c>
      <c r="K206" s="58">
        <f t="shared" si="15"/>
        <v>1.1956323697463405</v>
      </c>
      <c r="L206" s="58">
        <f t="shared" si="16"/>
        <v>3.1892872423065297</v>
      </c>
      <c r="M206" s="2">
        <f t="shared" si="18"/>
        <v>56.500000000000234</v>
      </c>
      <c r="N206" s="58">
        <f t="shared" si="17"/>
        <v>7.6991150442477156</v>
      </c>
    </row>
    <row r="207" spans="1:14" x14ac:dyDescent="0.2">
      <c r="B207" s="3"/>
      <c r="F207" s="88"/>
      <c r="H207" s="2"/>
      <c r="J207" s="58">
        <f t="shared" si="14"/>
        <v>0.27825578734965734</v>
      </c>
      <c r="K207" s="58">
        <f t="shared" si="15"/>
        <v>1.2023294138515064</v>
      </c>
      <c r="L207" s="58">
        <f t="shared" si="16"/>
        <v>3.2006786023684644</v>
      </c>
      <c r="M207" s="2">
        <f t="shared" si="18"/>
        <v>56.600000000000236</v>
      </c>
      <c r="N207" s="58">
        <f t="shared" si="17"/>
        <v>7.6678445229681245</v>
      </c>
    </row>
    <row r="208" spans="1:14" ht="13.5" thickBot="1" x14ac:dyDescent="0.25">
      <c r="A208" s="413" t="s">
        <v>26</v>
      </c>
      <c r="B208" s="426"/>
      <c r="C208" s="39"/>
      <c r="D208" s="268" t="s">
        <v>27</v>
      </c>
      <c r="E208" s="51"/>
      <c r="F208" s="51"/>
      <c r="H208" s="2"/>
      <c r="J208" s="58">
        <f t="shared" si="14"/>
        <v>0.28117469011406948</v>
      </c>
      <c r="K208" s="58">
        <f t="shared" si="15"/>
        <v>1.2090390908871094</v>
      </c>
      <c r="L208" s="58">
        <f t="shared" si="16"/>
        <v>3.2120744022591361</v>
      </c>
      <c r="M208" s="2">
        <f t="shared" si="18"/>
        <v>56.700000000000237</v>
      </c>
      <c r="N208" s="58">
        <f t="shared" si="17"/>
        <v>7.6366843033508971</v>
      </c>
    </row>
    <row r="209" spans="1:14" x14ac:dyDescent="0.2">
      <c r="A209" s="415" t="s">
        <v>24</v>
      </c>
      <c r="B209" s="407"/>
      <c r="C209" s="85" t="s">
        <v>61</v>
      </c>
      <c r="D209" s="265">
        <f>'SDA 8'!$B$14+'SDA 8'!$C$14</f>
        <v>0</v>
      </c>
      <c r="E209" s="16"/>
      <c r="F209" s="16"/>
      <c r="H209" s="2"/>
      <c r="J209" s="58">
        <f t="shared" si="14"/>
        <v>0.28410738409755026</v>
      </c>
      <c r="K209" s="58">
        <f t="shared" si="15"/>
        <v>1.2157613809279597</v>
      </c>
      <c r="L209" s="58">
        <f t="shared" si="16"/>
        <v>3.2234746129834515</v>
      </c>
      <c r="M209" s="2">
        <f t="shared" si="18"/>
        <v>56.800000000000239</v>
      </c>
      <c r="N209" s="58">
        <f t="shared" si="17"/>
        <v>7.6056338028168291</v>
      </c>
    </row>
    <row r="210" spans="1:14" ht="13.5" thickBot="1" x14ac:dyDescent="0.25">
      <c r="A210" s="408"/>
      <c r="B210" s="409"/>
      <c r="C210" s="86" t="s">
        <v>8</v>
      </c>
      <c r="D210" s="184">
        <v>70</v>
      </c>
      <c r="E210" s="115"/>
      <c r="F210" s="115"/>
      <c r="H210" s="2"/>
      <c r="J210" s="58">
        <f t="shared" si="14"/>
        <v>0.28705386350841078</v>
      </c>
      <c r="K210" s="58">
        <f t="shared" si="15"/>
        <v>1.2224962642695143</v>
      </c>
      <c r="L210" s="58">
        <f t="shared" si="16"/>
        <v>3.2348792057510649</v>
      </c>
      <c r="M210" s="2">
        <f t="shared" si="18"/>
        <v>56.90000000000024</v>
      </c>
      <c r="N210" s="58">
        <f t="shared" si="17"/>
        <v>7.5746924428821742</v>
      </c>
    </row>
    <row r="211" spans="1:14" x14ac:dyDescent="0.2">
      <c r="A211" s="415" t="s">
        <v>30</v>
      </c>
      <c r="B211" s="407"/>
      <c r="C211" s="85" t="s">
        <v>61</v>
      </c>
      <c r="D211" s="266">
        <f>'SDA 8'!$B$15+'SDA 8'!$C$15</f>
        <v>0</v>
      </c>
      <c r="E211" s="16"/>
      <c r="F211" s="16"/>
      <c r="H211" s="2"/>
      <c r="J211" s="58">
        <f t="shared" si="14"/>
        <v>0.29001412284392519</v>
      </c>
      <c r="K211" s="58">
        <f t="shared" si="15"/>
        <v>1.2292437214261154</v>
      </c>
      <c r="L211" s="58">
        <f t="shared" si="16"/>
        <v>3.2462881519745839</v>
      </c>
      <c r="M211" s="2">
        <f t="shared" si="18"/>
        <v>57.000000000000242</v>
      </c>
      <c r="N211" s="58">
        <f t="shared" si="17"/>
        <v>7.5438596491227337</v>
      </c>
    </row>
    <row r="212" spans="1:14" ht="13.5" thickBot="1" x14ac:dyDescent="0.25">
      <c r="A212" s="408"/>
      <c r="B212" s="409"/>
      <c r="C212" s="86" t="s">
        <v>8</v>
      </c>
      <c r="D212" s="184">
        <v>74</v>
      </c>
      <c r="E212" s="115"/>
      <c r="F212" s="115"/>
      <c r="H212" s="2"/>
      <c r="J212" s="58">
        <f t="shared" si="14"/>
        <v>0.29298815688895558</v>
      </c>
      <c r="K212" s="58">
        <f t="shared" si="15"/>
        <v>1.2360037331292484</v>
      </c>
      <c r="L212" s="58">
        <f t="shared" si="16"/>
        <v>3.257701423267795</v>
      </c>
      <c r="M212" s="2">
        <f t="shared" si="18"/>
        <v>57.100000000000243</v>
      </c>
      <c r="N212" s="58">
        <f t="shared" si="17"/>
        <v>7.5131348511382789</v>
      </c>
    </row>
    <row r="213" spans="1:14" x14ac:dyDescent="0.2">
      <c r="A213" s="406" t="s">
        <v>144</v>
      </c>
      <c r="B213" s="407"/>
      <c r="C213" s="85" t="s">
        <v>61</v>
      </c>
      <c r="D213" s="266">
        <f>'SDA 8'!$B$16+'SDA 8'!$B$18+'SDA 8'!$C$16+'SDA 8'!$C$18</f>
        <v>0</v>
      </c>
      <c r="E213" s="202" t="s">
        <v>7</v>
      </c>
      <c r="F213" s="203" t="s">
        <v>9</v>
      </c>
      <c r="H213" s="2"/>
      <c r="J213" s="58">
        <f t="shared" si="14"/>
        <v>0.29597596071459265</v>
      </c>
      <c r="K213" s="58">
        <f t="shared" si="15"/>
        <v>1.2427762803258173</v>
      </c>
      <c r="L213" s="58">
        <f t="shared" si="16"/>
        <v>3.2691189914439014</v>
      </c>
      <c r="M213" s="2">
        <f t="shared" si="18"/>
        <v>57.200000000000244</v>
      </c>
      <c r="N213" s="58">
        <f t="shared" si="17"/>
        <v>7.4825174825174088</v>
      </c>
    </row>
    <row r="214" spans="1:14" ht="13.5" thickBot="1" x14ac:dyDescent="0.25">
      <c r="A214" s="408"/>
      <c r="B214" s="409"/>
      <c r="C214" s="86" t="s">
        <v>8</v>
      </c>
      <c r="D214" s="185">
        <v>98</v>
      </c>
      <c r="E214" s="183">
        <f>IF($B$16&gt;0,(D209*D210+D211*D212+D213*D214)/$B$16,0)</f>
        <v>0</v>
      </c>
      <c r="F214" s="197">
        <f>IF(E214&gt;0,1000/E214-10,1000)</f>
        <v>1000</v>
      </c>
      <c r="H214" s="2"/>
      <c r="J214" s="58">
        <f t="shared" si="14"/>
        <v>0.29897752967682184</v>
      </c>
      <c r="K214" s="58">
        <f t="shared" si="15"/>
        <v>1.2495613441764386</v>
      </c>
      <c r="L214" s="58">
        <f t="shared" si="16"/>
        <v>3.2805408285137854</v>
      </c>
      <c r="M214" s="2">
        <f t="shared" si="18"/>
        <v>57.300000000000246</v>
      </c>
      <c r="N214" s="58">
        <f t="shared" si="17"/>
        <v>7.4520069808027181</v>
      </c>
    </row>
    <row r="215" spans="1:14" x14ac:dyDescent="0.2">
      <c r="B215" s="3"/>
      <c r="F215" s="88"/>
      <c r="H215" s="2"/>
      <c r="J215" s="58">
        <f t="shared" si="14"/>
        <v>0.30199285941520676</v>
      </c>
      <c r="K215" s="58">
        <f t="shared" si="15"/>
        <v>1.2563589060537539</v>
      </c>
      <c r="L215" s="58">
        <f t="shared" si="16"/>
        <v>3.2919669066842867</v>
      </c>
      <c r="M215" s="2">
        <f t="shared" si="18"/>
        <v>57.400000000000247</v>
      </c>
      <c r="N215" s="58">
        <f t="shared" si="17"/>
        <v>7.4216027874563721</v>
      </c>
    </row>
    <row r="216" spans="1:14" x14ac:dyDescent="0.2">
      <c r="A216" s="40"/>
      <c r="C216" s="141"/>
      <c r="D216" s="227" t="str">
        <f>$B$4</f>
        <v>2-year storm</v>
      </c>
      <c r="E216" s="227" t="str">
        <f>$C$4</f>
        <v>15-year storm</v>
      </c>
      <c r="F216" s="227" t="str">
        <f>$D$4</f>
        <v>100-year storm</v>
      </c>
      <c r="H216" s="2"/>
      <c r="J216" s="58">
        <f t="shared" si="14"/>
        <v>0.30502194585159431</v>
      </c>
      <c r="K216" s="58">
        <f t="shared" si="15"/>
        <v>1.2631689475407613</v>
      </c>
      <c r="L216" s="58">
        <f t="shared" si="16"/>
        <v>3.303397198356496</v>
      </c>
      <c r="M216" s="2">
        <f t="shared" si="18"/>
        <v>57.500000000000249</v>
      </c>
      <c r="N216" s="58">
        <f t="shared" si="17"/>
        <v>7.3913043478260114</v>
      </c>
    </row>
    <row r="217" spans="1:14" x14ac:dyDescent="0.2">
      <c r="A217" s="404" t="s">
        <v>213</v>
      </c>
      <c r="B217" s="404"/>
      <c r="C217" s="405"/>
      <c r="D217" s="197">
        <f>IF(B$5&gt;0.2*($F214),(B$5-0.2*($F214))^2/(B$5+0.8*($F214)),0)</f>
        <v>0</v>
      </c>
      <c r="E217" s="197">
        <f>IF(C$5&gt;0.2*($F214),(C$5-0.2*($F214))^2/(C$5+0.8*($F214)),0)</f>
        <v>0</v>
      </c>
      <c r="F217" s="197">
        <f>IF(D$5&gt;0.2*($F214),(D$5-0.2*($F214))^2/(D$5+0.8*($F214)),0)</f>
        <v>0</v>
      </c>
      <c r="J217" s="58">
        <f t="shared" ref="J217:J280" si="19">IF(B$5&gt;0.2*($N217),(B$5-0.2*($N217))^2/(B$5+0.8*($N217)),0)</f>
        <v>0.30806478518883906</v>
      </c>
      <c r="K217" s="58">
        <f t="shared" ref="K217:K280" si="20">IF(C$5&gt;0.2*($N217),(C$5-0.2*($N217))^2/(C$5+0.8*($N217)),0)</f>
        <v>1.2699914504291612</v>
      </c>
      <c r="L217" s="58">
        <f t="shared" ref="L217:L280" si="21">IF(D$5&gt;0.2*($N217),(D$5-0.2*($N217))^2/(D$5+0.8*($N217)),0)</f>
        <v>3.3148316761240673</v>
      </c>
      <c r="M217" s="2">
        <f t="shared" si="18"/>
        <v>57.60000000000025</v>
      </c>
      <c r="N217" s="58">
        <f t="shared" si="17"/>
        <v>7.3611111111110361</v>
      </c>
    </row>
    <row r="218" spans="1:14" x14ac:dyDescent="0.2">
      <c r="A218" s="404" t="s">
        <v>214</v>
      </c>
      <c r="B218" s="404"/>
      <c r="C218" s="405"/>
      <c r="D218" s="197">
        <f>IF($B$16&gt;0,D217-$C$16*12/$B$16,D217)</f>
        <v>0</v>
      </c>
      <c r="E218" s="197">
        <f>IF($B$16&gt;0,E217-$C$16*12/$B$16,E217)</f>
        <v>0</v>
      </c>
      <c r="F218" s="197">
        <f>IF($B$16&gt;0,F217-$C$16*12/$B$16,F217)</f>
        <v>0</v>
      </c>
      <c r="J218" s="58">
        <f t="shared" si="19"/>
        <v>0.31112137390954886</v>
      </c>
      <c r="K218" s="58">
        <f t="shared" si="20"/>
        <v>1.2768263967177249</v>
      </c>
      <c r="L218" s="58">
        <f t="shared" si="21"/>
        <v>3.3262703127715532</v>
      </c>
      <c r="M218" s="2">
        <f t="shared" si="18"/>
        <v>57.700000000000252</v>
      </c>
      <c r="N218" s="58">
        <f t="shared" si="17"/>
        <v>7.3310225303292142</v>
      </c>
    </row>
    <row r="219" spans="1:14" x14ac:dyDescent="0.2">
      <c r="A219" s="260"/>
      <c r="B219" s="260"/>
      <c r="C219" s="29" t="s">
        <v>28</v>
      </c>
      <c r="D219" s="198">
        <f>IF(D218&gt;0,VLOOKUP(D218,J$25:$N$639,4),0)</f>
        <v>0</v>
      </c>
      <c r="E219" s="198">
        <f>IF(E218&gt;0,VLOOKUP(E218,K$25:$N$639,3),0)</f>
        <v>0</v>
      </c>
      <c r="F219" s="198">
        <f>IF(F218&gt;0,VLOOKUP(F218,L$25:$N$639,2),0)</f>
        <v>0</v>
      </c>
      <c r="J219" s="58">
        <f t="shared" si="19"/>
        <v>0.31419170877484809</v>
      </c>
      <c r="K219" s="58">
        <f t="shared" si="20"/>
        <v>1.2836737686106765</v>
      </c>
      <c r="L219" s="58">
        <f t="shared" si="21"/>
        <v>3.3377130812727498</v>
      </c>
      <c r="M219" s="2">
        <f t="shared" si="18"/>
        <v>57.800000000000253</v>
      </c>
      <c r="N219" s="58">
        <f t="shared" si="17"/>
        <v>7.3010380622836628</v>
      </c>
    </row>
    <row r="220" spans="1:14" x14ac:dyDescent="0.2">
      <c r="J220" s="58">
        <f t="shared" si="19"/>
        <v>0.3172757868231626</v>
      </c>
      <c r="K220" s="58">
        <f t="shared" si="20"/>
        <v>1.2905335485160967</v>
      </c>
      <c r="L220" s="58">
        <f t="shared" si="21"/>
        <v>3.3491599547890694</v>
      </c>
      <c r="M220" s="2">
        <f t="shared" si="18"/>
        <v>57.900000000000254</v>
      </c>
      <c r="N220" s="58">
        <f t="shared" si="17"/>
        <v>7.2711571675301485</v>
      </c>
    </row>
    <row r="221" spans="1:14" ht="14.25" customHeight="1" x14ac:dyDescent="0.2">
      <c r="A221" s="410" t="s">
        <v>165</v>
      </c>
      <c r="B221" s="411"/>
      <c r="C221" s="411"/>
      <c r="D221" s="411"/>
      <c r="E221" s="411"/>
      <c r="F221" s="412"/>
      <c r="J221" s="58">
        <f t="shared" si="19"/>
        <v>0.32037360536902121</v>
      </c>
      <c r="K221" s="58">
        <f t="shared" si="20"/>
        <v>1.2974057190443342</v>
      </c>
      <c r="L221" s="58">
        <f t="shared" si="21"/>
        <v>3.3606109066679073</v>
      </c>
      <c r="M221" s="2">
        <f t="shared" si="18"/>
        <v>58.000000000000256</v>
      </c>
      <c r="N221" s="58">
        <f t="shared" si="17"/>
        <v>7.241379310344751</v>
      </c>
    </row>
    <row r="222" spans="1:14" ht="13.5" thickBot="1" x14ac:dyDescent="0.25">
      <c r="A222" s="424" t="s">
        <v>26</v>
      </c>
      <c r="B222" s="425"/>
      <c r="C222" s="263"/>
      <c r="D222" s="263" t="s">
        <v>27</v>
      </c>
      <c r="E222" s="51"/>
      <c r="F222" s="51"/>
      <c r="J222" s="58">
        <f t="shared" si="19"/>
        <v>0.32348516200187882</v>
      </c>
      <c r="K222" s="58">
        <f t="shared" si="20"/>
        <v>1.304290263006445</v>
      </c>
      <c r="L222" s="58">
        <f t="shared" si="21"/>
        <v>3.3720659104410591</v>
      </c>
      <c r="M222" s="2">
        <f t="shared" si="18"/>
        <v>58.100000000000257</v>
      </c>
      <c r="N222" s="58">
        <f t="shared" si="17"/>
        <v>7.2117039586918352</v>
      </c>
    </row>
    <row r="223" spans="1:14" x14ac:dyDescent="0.2">
      <c r="A223" s="415" t="s">
        <v>24</v>
      </c>
      <c r="B223" s="407"/>
      <c r="C223" s="85" t="s">
        <v>61</v>
      </c>
      <c r="D223" s="266">
        <f>'SDA 9'!$B$6</f>
        <v>0</v>
      </c>
      <c r="E223" s="16"/>
      <c r="F223" s="16"/>
      <c r="J223" s="58">
        <f t="shared" si="19"/>
        <v>0.32661045458495769</v>
      </c>
      <c r="K223" s="58">
        <f t="shared" si="20"/>
        <v>1.3111871634126433</v>
      </c>
      <c r="L223" s="58">
        <f t="shared" si="21"/>
        <v>3.3835249398231264</v>
      </c>
      <c r="M223" s="2">
        <f t="shared" si="18"/>
        <v>58.200000000000259</v>
      </c>
      <c r="N223" s="58">
        <f t="shared" si="17"/>
        <v>7.1821305841923646</v>
      </c>
    </row>
    <row r="224" spans="1:14" ht="12.75" customHeight="1" thickBot="1" x14ac:dyDescent="0.25">
      <c r="A224" s="408"/>
      <c r="B224" s="409"/>
      <c r="C224" s="86" t="s">
        <v>8</v>
      </c>
      <c r="D224" s="184">
        <v>70</v>
      </c>
      <c r="E224" s="115"/>
      <c r="F224" s="115"/>
      <c r="J224" s="58">
        <f t="shared" si="19"/>
        <v>0.32974948125410647</v>
      </c>
      <c r="K224" s="58">
        <f t="shared" si="20"/>
        <v>1.3180964034707674</v>
      </c>
      <c r="L224" s="58">
        <f t="shared" si="21"/>
        <v>3.39498796870995</v>
      </c>
      <c r="M224" s="2">
        <f t="shared" si="18"/>
        <v>58.30000000000026</v>
      </c>
      <c r="N224" s="58">
        <f t="shared" si="17"/>
        <v>7.1526586620925485</v>
      </c>
    </row>
    <row r="225" spans="1:14" ht="12.75" customHeight="1" x14ac:dyDescent="0.2">
      <c r="A225" s="415" t="s">
        <v>30</v>
      </c>
      <c r="B225" s="407"/>
      <c r="C225" s="85" t="s">
        <v>61</v>
      </c>
      <c r="D225" s="266">
        <f>'SDA 9'!$B$7</f>
        <v>0</v>
      </c>
      <c r="E225" s="16"/>
      <c r="F225" s="16"/>
      <c r="J225" s="58">
        <f t="shared" si="19"/>
        <v>0.33290224041667843</v>
      </c>
      <c r="K225" s="58">
        <f t="shared" si="20"/>
        <v>1.3250179665847639</v>
      </c>
      <c r="L225" s="58">
        <f t="shared" si="21"/>
        <v>3.4064549711770602</v>
      </c>
      <c r="M225" s="2">
        <f t="shared" si="18"/>
        <v>58.400000000000261</v>
      </c>
      <c r="N225" s="58">
        <f t="shared" si="17"/>
        <v>7.1232876712327986</v>
      </c>
    </row>
    <row r="226" spans="1:14" ht="12.75" customHeight="1" thickBot="1" x14ac:dyDescent="0.25">
      <c r="A226" s="408"/>
      <c r="B226" s="409"/>
      <c r="C226" s="86" t="s">
        <v>8</v>
      </c>
      <c r="D226" s="184">
        <v>74</v>
      </c>
      <c r="E226" s="115"/>
      <c r="F226" s="115"/>
      <c r="J226" s="58">
        <f t="shared" si="19"/>
        <v>0.33606873075042792</v>
      </c>
      <c r="K226" s="58">
        <f t="shared" si="20"/>
        <v>1.3319518363531846</v>
      </c>
      <c r="L226" s="58">
        <f t="shared" si="21"/>
        <v>3.4179259214781363</v>
      </c>
      <c r="M226" s="2">
        <f t="shared" si="18"/>
        <v>58.500000000000263</v>
      </c>
      <c r="N226" s="58">
        <f t="shared" si="17"/>
        <v>7.0940170940170155</v>
      </c>
    </row>
    <row r="227" spans="1:14" x14ac:dyDescent="0.2">
      <c r="A227" s="406" t="s">
        <v>144</v>
      </c>
      <c r="B227" s="407"/>
      <c r="C227" s="85" t="s">
        <v>61</v>
      </c>
      <c r="D227" s="266">
        <f>'SDA 9'!$B$8+'SDA 9'!$B$9</f>
        <v>0</v>
      </c>
      <c r="E227" s="202" t="s">
        <v>7</v>
      </c>
      <c r="F227" s="203" t="s">
        <v>9</v>
      </c>
      <c r="J227" s="58">
        <f t="shared" si="19"/>
        <v>0.33924895120242571</v>
      </c>
      <c r="K227" s="58">
        <f t="shared" si="20"/>
        <v>1.338897996567707</v>
      </c>
      <c r="L227" s="58">
        <f t="shared" si="21"/>
        <v>3.4294007940434916</v>
      </c>
      <c r="M227" s="2">
        <f t="shared" si="18"/>
        <v>58.600000000000264</v>
      </c>
      <c r="N227" s="58">
        <f t="shared" si="17"/>
        <v>7.0648464163821743</v>
      </c>
    </row>
    <row r="228" spans="1:14" ht="13.5" thickBot="1" x14ac:dyDescent="0.25">
      <c r="A228" s="408"/>
      <c r="B228" s="409"/>
      <c r="C228" s="86" t="s">
        <v>8</v>
      </c>
      <c r="D228" s="185">
        <v>98</v>
      </c>
      <c r="E228" s="183">
        <f>IF($B$17&gt;0,(D223*D224+D225*D226+D227*D228)/$B$17,0)</f>
        <v>0</v>
      </c>
      <c r="F228" s="197">
        <f>IF(E228&gt;0,1000/E228-10,1000)</f>
        <v>1000</v>
      </c>
      <c r="J228" s="58">
        <f t="shared" si="19"/>
        <v>0.34244290098799135</v>
      </c>
      <c r="K228" s="58">
        <f t="shared" si="20"/>
        <v>1.3458564312116614</v>
      </c>
      <c r="L228" s="58">
        <f t="shared" si="21"/>
        <v>3.4408795634785649</v>
      </c>
      <c r="M228" s="2">
        <f t="shared" si="18"/>
        <v>58.700000000000266</v>
      </c>
      <c r="N228" s="58">
        <f t="shared" si="17"/>
        <v>7.0357751277682361</v>
      </c>
    </row>
    <row r="229" spans="1:14" x14ac:dyDescent="0.2">
      <c r="B229" s="269"/>
      <c r="F229" s="88"/>
      <c r="J229" s="58">
        <f t="shared" si="19"/>
        <v>0.3456505795896439</v>
      </c>
      <c r="K229" s="58">
        <f t="shared" si="20"/>
        <v>1.352827124458581</v>
      </c>
      <c r="L229" s="58">
        <f t="shared" si="21"/>
        <v>3.4523622045624367</v>
      </c>
      <c r="M229" s="2">
        <f t="shared" si="18"/>
        <v>58.800000000000267</v>
      </c>
      <c r="N229" s="58">
        <f t="shared" si="17"/>
        <v>7.0068027210883592</v>
      </c>
    </row>
    <row r="230" spans="1:14" ht="13.5" thickBot="1" x14ac:dyDescent="0.25">
      <c r="A230" s="413" t="s">
        <v>26</v>
      </c>
      <c r="B230" s="426"/>
      <c r="C230" s="264"/>
      <c r="D230" s="268" t="s">
        <v>27</v>
      </c>
      <c r="E230" s="51"/>
      <c r="F230" s="51"/>
      <c r="J230" s="58">
        <f t="shared" si="19"/>
        <v>0.34887198675607001</v>
      </c>
      <c r="K230" s="58">
        <f t="shared" si="20"/>
        <v>1.3598100606707599</v>
      </c>
      <c r="L230" s="58">
        <f t="shared" si="21"/>
        <v>3.4638486922463483</v>
      </c>
      <c r="M230" s="2">
        <f t="shared" si="18"/>
        <v>58.900000000000269</v>
      </c>
      <c r="N230" s="58">
        <f t="shared" si="17"/>
        <v>6.9779286926994146</v>
      </c>
    </row>
    <row r="231" spans="1:14" x14ac:dyDescent="0.2">
      <c r="A231" s="415" t="s">
        <v>24</v>
      </c>
      <c r="B231" s="407"/>
      <c r="C231" s="85" t="s">
        <v>61</v>
      </c>
      <c r="D231" s="265">
        <f>'SDA 9'!$B$14+'SDA 9'!$C$14</f>
        <v>0</v>
      </c>
      <c r="E231" s="16"/>
      <c r="F231" s="16"/>
      <c r="J231" s="58">
        <f t="shared" si="19"/>
        <v>0.35210712250110993</v>
      </c>
      <c r="K231" s="58">
        <f t="shared" si="20"/>
        <v>1.366805224397831</v>
      </c>
      <c r="L231" s="58">
        <f t="shared" si="21"/>
        <v>3.4753390016522454</v>
      </c>
      <c r="M231" s="2">
        <f t="shared" si="18"/>
        <v>59.00000000000027</v>
      </c>
      <c r="N231" s="58">
        <f t="shared" si="17"/>
        <v>6.9491525423728042</v>
      </c>
    </row>
    <row r="232" spans="1:14" ht="13.5" thickBot="1" x14ac:dyDescent="0.25">
      <c r="A232" s="408"/>
      <c r="B232" s="409"/>
      <c r="C232" s="86" t="s">
        <v>8</v>
      </c>
      <c r="D232" s="184">
        <v>70</v>
      </c>
      <c r="E232" s="115"/>
      <c r="F232" s="115"/>
      <c r="J232" s="58">
        <f t="shared" si="19"/>
        <v>0.35535598710275984</v>
      </c>
      <c r="K232" s="58">
        <f t="shared" si="20"/>
        <v>1.3738126003753588</v>
      </c>
      <c r="L232" s="58">
        <f t="shared" si="21"/>
        <v>3.4868331080713331</v>
      </c>
      <c r="M232" s="2">
        <f t="shared" si="18"/>
        <v>59.100000000000271</v>
      </c>
      <c r="N232" s="58">
        <f t="shared" si="17"/>
        <v>6.9204737732655737</v>
      </c>
    </row>
    <row r="233" spans="1:14" x14ac:dyDescent="0.2">
      <c r="A233" s="415" t="s">
        <v>30</v>
      </c>
      <c r="B233" s="407"/>
      <c r="C233" s="85" t="s">
        <v>61</v>
      </c>
      <c r="D233" s="266">
        <f>'SDA 9'!$B$15+'SDA 9'!$C$15</f>
        <v>0</v>
      </c>
      <c r="E233" s="16"/>
      <c r="F233" s="16"/>
      <c r="J233" s="58">
        <f t="shared" si="19"/>
        <v>0.35861858110219313</v>
      </c>
      <c r="K233" s="58">
        <f t="shared" si="20"/>
        <v>1.3808321735234459</v>
      </c>
      <c r="L233" s="58">
        <f t="shared" si="21"/>
        <v>3.4983309869626464</v>
      </c>
      <c r="M233" s="2">
        <f t="shared" si="18"/>
        <v>59.200000000000273</v>
      </c>
      <c r="N233" s="58">
        <f t="shared" ref="N233:N296" si="22">IF(M233&gt;0,1000/M233-10,1000)</f>
        <v>6.8918918918918131</v>
      </c>
    </row>
    <row r="234" spans="1:14" ht="13.5" thickBot="1" x14ac:dyDescent="0.25">
      <c r="A234" s="408"/>
      <c r="B234" s="409"/>
      <c r="C234" s="86" t="s">
        <v>8</v>
      </c>
      <c r="D234" s="184">
        <v>74</v>
      </c>
      <c r="E234" s="115"/>
      <c r="F234" s="115"/>
      <c r="J234" s="58">
        <f t="shared" si="19"/>
        <v>0.36189490530279683</v>
      </c>
      <c r="K234" s="58">
        <f t="shared" si="20"/>
        <v>1.3878639289453532</v>
      </c>
      <c r="L234" s="58">
        <f t="shared" si="21"/>
        <v>3.5098326139516378</v>
      </c>
      <c r="M234" s="2">
        <f t="shared" si="18"/>
        <v>59.300000000000274</v>
      </c>
      <c r="N234" s="58">
        <f t="shared" si="22"/>
        <v>6.863406408094356</v>
      </c>
    </row>
    <row r="235" spans="1:14" x14ac:dyDescent="0.2">
      <c r="A235" s="406" t="s">
        <v>144</v>
      </c>
      <c r="B235" s="407"/>
      <c r="C235" s="85" t="s">
        <v>61</v>
      </c>
      <c r="D235" s="266">
        <f>'SDA 9'!$B$16+'SDA 9'!$B$18+'SDA 9'!$C$16+'SDA 9'!$C$18</f>
        <v>0</v>
      </c>
      <c r="E235" s="202" t="s">
        <v>7</v>
      </c>
      <c r="F235" s="203" t="s">
        <v>9</v>
      </c>
      <c r="J235" s="58">
        <f t="shared" si="19"/>
        <v>0.36518496076922707</v>
      </c>
      <c r="K235" s="58">
        <f t="shared" si="20"/>
        <v>1.3949078519261358</v>
      </c>
      <c r="L235" s="58">
        <f t="shared" si="21"/>
        <v>3.5213379648287724</v>
      </c>
      <c r="M235" s="2">
        <f t="shared" si="18"/>
        <v>59.400000000000276</v>
      </c>
      <c r="N235" s="58">
        <f t="shared" si="22"/>
        <v>6.8350168350167557</v>
      </c>
    </row>
    <row r="236" spans="1:14" ht="13.5" thickBot="1" x14ac:dyDescent="0.25">
      <c r="A236" s="408"/>
      <c r="B236" s="409"/>
      <c r="C236" s="86" t="s">
        <v>8</v>
      </c>
      <c r="D236" s="185">
        <v>98</v>
      </c>
      <c r="E236" s="183">
        <f>IF($B$17&gt;0,(D231*D232+D233*D234+D235*D236)/$B$17,0)</f>
        <v>0</v>
      </c>
      <c r="F236" s="197">
        <f>IF(E236&gt;0,1000/E236-10,1000)</f>
        <v>1000</v>
      </c>
      <c r="H236" s="2"/>
      <c r="J236" s="58">
        <f t="shared" si="19"/>
        <v>0.3684887488264782</v>
      </c>
      <c r="K236" s="58">
        <f t="shared" si="20"/>
        <v>1.4019639279312919</v>
      </c>
      <c r="L236" s="58">
        <f t="shared" si="21"/>
        <v>3.53284701554814</v>
      </c>
      <c r="M236" s="2">
        <f t="shared" si="18"/>
        <v>59.500000000000277</v>
      </c>
      <c r="N236" s="58">
        <f t="shared" si="22"/>
        <v>6.8067226890755528</v>
      </c>
    </row>
    <row r="237" spans="1:14" x14ac:dyDescent="0.2">
      <c r="B237" s="3"/>
      <c r="F237" s="88"/>
      <c r="H237" s="2"/>
      <c r="J237" s="58">
        <f t="shared" si="19"/>
        <v>0.37180627105897213</v>
      </c>
      <c r="K237" s="58">
        <f t="shared" si="20"/>
        <v>1.4090321426054289</v>
      </c>
      <c r="L237" s="58">
        <f t="shared" si="21"/>
        <v>3.5443597422260886</v>
      </c>
      <c r="M237" s="2">
        <f t="shared" si="18"/>
        <v>59.600000000000279</v>
      </c>
      <c r="N237" s="58">
        <f t="shared" si="22"/>
        <v>6.7785234899328088</v>
      </c>
    </row>
    <row r="238" spans="1:14" x14ac:dyDescent="0.2">
      <c r="A238" s="40"/>
      <c r="C238" s="141"/>
      <c r="D238" s="227" t="str">
        <f>$B$4</f>
        <v>2-year storm</v>
      </c>
      <c r="E238" s="227" t="str">
        <f>$C$4</f>
        <v>15-year storm</v>
      </c>
      <c r="F238" s="227" t="str">
        <f>$D$4</f>
        <v>100-year storm</v>
      </c>
      <c r="H238" s="2"/>
      <c r="J238" s="58">
        <f t="shared" si="19"/>
        <v>0.37513752930966127</v>
      </c>
      <c r="K238" s="58">
        <f t="shared" si="20"/>
        <v>1.4161124817709398</v>
      </c>
      <c r="L238" s="58">
        <f t="shared" si="21"/>
        <v>3.5558761211398631</v>
      </c>
      <c r="M238" s="2">
        <f t="shared" si="18"/>
        <v>59.70000000000028</v>
      </c>
      <c r="N238" s="58">
        <f t="shared" si="22"/>
        <v>6.7504187604689321</v>
      </c>
    </row>
    <row r="239" spans="1:14" x14ac:dyDescent="0.2">
      <c r="A239" s="404" t="s">
        <v>213</v>
      </c>
      <c r="B239" s="404"/>
      <c r="C239" s="405"/>
      <c r="D239" s="197">
        <f>IF(B$5&gt;0.2*($F236),(B$5-0.2*($F236))^2/(B$5+0.8*($F236)),0)</f>
        <v>0</v>
      </c>
      <c r="E239" s="197">
        <f>IF(C$5&gt;0.2*($F236),(C$5-0.2*($F236))^2/(C$5+0.8*($F236)),0)</f>
        <v>0</v>
      </c>
      <c r="F239" s="197">
        <f>IF(D$5&gt;0.2*($F236),(D$5-0.2*($F236))^2/(D$5+0.8*($F236)),0)</f>
        <v>0</v>
      </c>
      <c r="H239" s="2"/>
      <c r="J239" s="58">
        <f t="shared" si="19"/>
        <v>0.37848252567914809</v>
      </c>
      <c r="K239" s="58">
        <f t="shared" si="20"/>
        <v>1.423204931426691</v>
      </c>
      <c r="L239" s="58">
        <f t="shared" si="21"/>
        <v>3.5673961287262492</v>
      </c>
      <c r="M239" s="2">
        <f t="shared" si="18"/>
        <v>59.800000000000281</v>
      </c>
      <c r="N239" s="58">
        <f t="shared" si="22"/>
        <v>6.7224080267557724</v>
      </c>
    </row>
    <row r="240" spans="1:14" x14ac:dyDescent="0.2">
      <c r="A240" s="404" t="s">
        <v>214</v>
      </c>
      <c r="B240" s="404"/>
      <c r="C240" s="405"/>
      <c r="D240" s="197">
        <f>IF($B$17&gt;0,D239-$C$17*12/$B$17,D239)</f>
        <v>0</v>
      </c>
      <c r="E240" s="197">
        <f>IF($B$17&gt;0,E239-$C$17*12/$B$17,E239)</f>
        <v>0</v>
      </c>
      <c r="F240" s="197">
        <f>IF($B$17&gt;0,F239-$C$17*12/$B$17,F239)</f>
        <v>0</v>
      </c>
      <c r="H240" s="2"/>
      <c r="J240" s="58">
        <f t="shared" si="19"/>
        <v>0.38184126252482237</v>
      </c>
      <c r="K240" s="58">
        <f t="shared" si="20"/>
        <v>1.4303094777467318</v>
      </c>
      <c r="L240" s="58">
        <f t="shared" si="21"/>
        <v>3.5789197415802554</v>
      </c>
      <c r="M240" s="2">
        <f t="shared" si="18"/>
        <v>59.900000000000283</v>
      </c>
      <c r="N240" s="58">
        <f t="shared" si="22"/>
        <v>6.6944908180299727</v>
      </c>
    </row>
    <row r="241" spans="1:14" x14ac:dyDescent="0.2">
      <c r="A241" s="260"/>
      <c r="B241" s="260"/>
      <c r="C241" s="29" t="s">
        <v>28</v>
      </c>
      <c r="D241" s="198">
        <f>IF(D240&gt;0,VLOOKUP(D240,J$25:$N$639,4),0)</f>
        <v>0</v>
      </c>
      <c r="E241" s="198">
        <f>IF(E240&gt;0,VLOOKUP(E240,K$25:$N$639,3),0)</f>
        <v>0</v>
      </c>
      <c r="F241" s="198">
        <f>IF(F240&gt;0,VLOOKUP(F240,L$25:$N$639,2),0)</f>
        <v>0</v>
      </c>
      <c r="H241" s="2"/>
      <c r="J241" s="58">
        <f t="shared" si="19"/>
        <v>0.38521374246001511</v>
      </c>
      <c r="K241" s="58">
        <f t="shared" si="20"/>
        <v>1.4374261070790155</v>
      </c>
      <c r="L241" s="58">
        <f t="shared" si="21"/>
        <v>3.5904469364537959</v>
      </c>
      <c r="M241" s="2">
        <f t="shared" ref="M241:M304" si="23">M240+0.1</f>
        <v>60.000000000000284</v>
      </c>
      <c r="N241" s="58">
        <f t="shared" si="22"/>
        <v>6.6666666666665861</v>
      </c>
    </row>
    <row r="242" spans="1:14" x14ac:dyDescent="0.2">
      <c r="H242" s="2"/>
      <c r="J242" s="58">
        <f t="shared" si="19"/>
        <v>0.38859996835316218</v>
      </c>
      <c r="K242" s="58">
        <f t="shared" si="20"/>
        <v>1.4445548059441184</v>
      </c>
      <c r="L242" s="58">
        <f t="shared" si="21"/>
        <v>3.6019776902543645</v>
      </c>
      <c r="M242" s="2">
        <f t="shared" si="23"/>
        <v>60.100000000000286</v>
      </c>
      <c r="N242" s="58">
        <f t="shared" si="22"/>
        <v>6.6389351081529995</v>
      </c>
    </row>
    <row r="243" spans="1:14" x14ac:dyDescent="0.2">
      <c r="A243" s="410" t="s">
        <v>166</v>
      </c>
      <c r="B243" s="411"/>
      <c r="C243" s="411"/>
      <c r="D243" s="411"/>
      <c r="E243" s="411"/>
      <c r="F243" s="412"/>
      <c r="J243" s="58">
        <f t="shared" si="19"/>
        <v>0.39199994332699378</v>
      </c>
      <c r="K243" s="58">
        <f t="shared" si="20"/>
        <v>1.4516955610340023</v>
      </c>
      <c r="L243" s="58">
        <f t="shared" si="21"/>
        <v>3.6135119800437692</v>
      </c>
      <c r="M243" s="2">
        <f t="shared" si="23"/>
        <v>60.200000000000287</v>
      </c>
      <c r="N243" s="58">
        <f t="shared" si="22"/>
        <v>6.6112956810630443</v>
      </c>
    </row>
    <row r="244" spans="1:14" ht="13.5" thickBot="1" x14ac:dyDescent="0.25">
      <c r="A244" s="424" t="s">
        <v>26</v>
      </c>
      <c r="B244" s="425"/>
      <c r="C244" s="263"/>
      <c r="D244" s="263" t="s">
        <v>27</v>
      </c>
      <c r="E244" s="51"/>
      <c r="F244" s="51"/>
      <c r="J244" s="58">
        <f t="shared" si="19"/>
        <v>0.39541367075773048</v>
      </c>
      <c r="K244" s="58">
        <f t="shared" si="20"/>
        <v>1.4588483592107571</v>
      </c>
      <c r="L244" s="58">
        <f t="shared" si="21"/>
        <v>3.6250497830368329</v>
      </c>
      <c r="M244" s="2">
        <f t="shared" si="23"/>
        <v>60.300000000000288</v>
      </c>
      <c r="N244" s="58">
        <f t="shared" si="22"/>
        <v>6.5837479270314283</v>
      </c>
    </row>
    <row r="245" spans="1:14" x14ac:dyDescent="0.2">
      <c r="A245" s="415" t="s">
        <v>24</v>
      </c>
      <c r="B245" s="407"/>
      <c r="C245" s="85" t="s">
        <v>61</v>
      </c>
      <c r="D245" s="266">
        <f>'SDA 10'!$B$6</f>
        <v>0</v>
      </c>
      <c r="E245" s="16"/>
      <c r="F245" s="16"/>
      <c r="J245" s="58">
        <f t="shared" si="19"/>
        <v>0.39884115427429856</v>
      </c>
      <c r="K245" s="58">
        <f t="shared" si="20"/>
        <v>1.4660131875053777</v>
      </c>
      <c r="L245" s="58">
        <f t="shared" si="21"/>
        <v>3.636591076600133</v>
      </c>
      <c r="M245" s="2">
        <f t="shared" si="23"/>
        <v>60.40000000000029</v>
      </c>
      <c r="N245" s="58">
        <f t="shared" si="22"/>
        <v>6.5562913907283971</v>
      </c>
    </row>
    <row r="246" spans="1:14" ht="13.5" thickBot="1" x14ac:dyDescent="0.25">
      <c r="A246" s="408"/>
      <c r="B246" s="409"/>
      <c r="C246" s="86" t="s">
        <v>8</v>
      </c>
      <c r="D246" s="184">
        <v>70</v>
      </c>
      <c r="E246" s="115"/>
      <c r="F246" s="115"/>
      <c r="J246" s="58">
        <f t="shared" si="19"/>
        <v>0.40228239775756175</v>
      </c>
      <c r="K246" s="58">
        <f t="shared" si="20"/>
        <v>1.4731900331165482</v>
      </c>
      <c r="L246" s="58">
        <f t="shared" si="21"/>
        <v>3.6481358382507478</v>
      </c>
      <c r="M246" s="2">
        <f t="shared" si="23"/>
        <v>60.500000000000291</v>
      </c>
      <c r="N246" s="58">
        <f t="shared" si="22"/>
        <v>6.5289256198346308</v>
      </c>
    </row>
    <row r="247" spans="1:14" x14ac:dyDescent="0.2">
      <c r="A247" s="415" t="s">
        <v>30</v>
      </c>
      <c r="B247" s="407"/>
      <c r="C247" s="85" t="s">
        <v>61</v>
      </c>
      <c r="D247" s="266">
        <f>'SDA 10'!$B$7</f>
        <v>0</v>
      </c>
      <c r="E247" s="16"/>
      <c r="F247" s="16"/>
      <c r="J247" s="58">
        <f t="shared" si="19"/>
        <v>0.40573740533956609</v>
      </c>
      <c r="K247" s="58">
        <f t="shared" si="20"/>
        <v>1.4803788834094354</v>
      </c>
      <c r="L247" s="58">
        <f t="shared" si="21"/>
        <v>3.6596840456550148</v>
      </c>
      <c r="M247" s="2">
        <f t="shared" si="23"/>
        <v>60.600000000000293</v>
      </c>
      <c r="N247" s="58">
        <f t="shared" si="22"/>
        <v>6.5016501650164216</v>
      </c>
    </row>
    <row r="248" spans="1:14" ht="13.5" thickBot="1" x14ac:dyDescent="0.25">
      <c r="A248" s="408"/>
      <c r="B248" s="409"/>
      <c r="C248" s="86" t="s">
        <v>8</v>
      </c>
      <c r="D248" s="184">
        <v>74</v>
      </c>
      <c r="E248" s="115"/>
      <c r="F248" s="115"/>
      <c r="J248" s="58">
        <f t="shared" si="19"/>
        <v>0.40920618140280013</v>
      </c>
      <c r="K248" s="58">
        <f t="shared" si="20"/>
        <v>1.4875797259144958</v>
      </c>
      <c r="L248" s="58">
        <f t="shared" si="21"/>
        <v>3.6712356766272984</v>
      </c>
      <c r="M248" s="2">
        <f t="shared" si="23"/>
        <v>60.700000000000294</v>
      </c>
      <c r="N248" s="58">
        <f t="shared" si="22"/>
        <v>6.474464579901074</v>
      </c>
    </row>
    <row r="249" spans="1:14" x14ac:dyDescent="0.2">
      <c r="A249" s="406" t="s">
        <v>144</v>
      </c>
      <c r="B249" s="407"/>
      <c r="C249" s="85" t="s">
        <v>61</v>
      </c>
      <c r="D249" s="266">
        <f>'SDA 10'!$B$8+'SDA 10'!$B$9</f>
        <v>0</v>
      </c>
      <c r="E249" s="202" t="s">
        <v>7</v>
      </c>
      <c r="F249" s="203" t="s">
        <v>9</v>
      </c>
      <c r="J249" s="58">
        <f t="shared" si="19"/>
        <v>0.41268873057947164</v>
      </c>
      <c r="K249" s="58">
        <f t="shared" si="20"/>
        <v>1.4947925483263014</v>
      </c>
      <c r="L249" s="58">
        <f t="shared" si="21"/>
        <v>3.6827907091287786</v>
      </c>
      <c r="M249" s="2">
        <f t="shared" si="23"/>
        <v>60.800000000000296</v>
      </c>
      <c r="N249" s="58">
        <f t="shared" si="22"/>
        <v>6.4473684210525519</v>
      </c>
    </row>
    <row r="250" spans="1:14" ht="13.5" thickBot="1" x14ac:dyDescent="0.25">
      <c r="A250" s="408"/>
      <c r="B250" s="409"/>
      <c r="C250" s="86" t="s">
        <v>8</v>
      </c>
      <c r="D250" s="185">
        <v>98</v>
      </c>
      <c r="E250" s="183">
        <f>IF($B$18&gt;0,(D245*D246+D247*D248+D249*D250)/$B$18,0)</f>
        <v>0</v>
      </c>
      <c r="F250" s="197">
        <f>IF(E250&gt;0,1000/E250-10,1000)</f>
        <v>1000</v>
      </c>
      <c r="J250" s="58">
        <f t="shared" si="19"/>
        <v>0.41618505775079717</v>
      </c>
      <c r="K250" s="58">
        <f t="shared" si="20"/>
        <v>1.5020173385023634</v>
      </c>
      <c r="L250" s="58">
        <f t="shared" si="21"/>
        <v>3.6943491212662338</v>
      </c>
      <c r="M250" s="2">
        <f t="shared" si="23"/>
        <v>60.900000000000297</v>
      </c>
      <c r="N250" s="58">
        <f t="shared" si="22"/>
        <v>6.4203612479473762</v>
      </c>
    </row>
    <row r="251" spans="1:14" x14ac:dyDescent="0.2">
      <c r="A251" s="270"/>
      <c r="B251" s="269"/>
      <c r="C251" s="271"/>
      <c r="F251" s="88"/>
      <c r="J251" s="58">
        <f t="shared" si="19"/>
        <v>0.41969516804630819</v>
      </c>
      <c r="K251" s="58">
        <f t="shared" si="20"/>
        <v>1.5092540844619851</v>
      </c>
      <c r="L251" s="58">
        <f t="shared" si="21"/>
        <v>3.7059108912908605</v>
      </c>
      <c r="M251" s="2">
        <f t="shared" si="23"/>
        <v>61.000000000000298</v>
      </c>
      <c r="N251" s="58">
        <f t="shared" si="22"/>
        <v>6.3934426229507402</v>
      </c>
    </row>
    <row r="252" spans="1:14" ht="13.5" thickBot="1" x14ac:dyDescent="0.25">
      <c r="A252" s="417" t="s">
        <v>26</v>
      </c>
      <c r="B252" s="423"/>
      <c r="C252" s="264"/>
      <c r="D252" s="268" t="s">
        <v>27</v>
      </c>
      <c r="E252" s="51"/>
      <c r="F252" s="51"/>
      <c r="J252" s="58">
        <f t="shared" si="19"/>
        <v>0.42321906684316979</v>
      </c>
      <c r="K252" s="58">
        <f t="shared" si="20"/>
        <v>1.5165027743851123</v>
      </c>
      <c r="L252" s="58">
        <f t="shared" si="21"/>
        <v>3.7174759975970826</v>
      </c>
      <c r="M252" s="2">
        <f t="shared" si="23"/>
        <v>61.1000000000003</v>
      </c>
      <c r="N252" s="58">
        <f t="shared" si="22"/>
        <v>6.3666121112928806</v>
      </c>
    </row>
    <row r="253" spans="1:14" x14ac:dyDescent="0.2">
      <c r="A253" s="415" t="s">
        <v>24</v>
      </c>
      <c r="B253" s="407"/>
      <c r="C253" s="85" t="s">
        <v>61</v>
      </c>
      <c r="D253" s="265">
        <f>'SDA 10'!$B$14+'SDA 10'!$C$14</f>
        <v>0</v>
      </c>
      <c r="E253" s="16"/>
      <c r="F253" s="16"/>
      <c r="J253" s="58">
        <f t="shared" si="19"/>
        <v>0.42675675976551508</v>
      </c>
      <c r="K253" s="58">
        <f t="shared" si="20"/>
        <v>1.5237633966112016</v>
      </c>
      <c r="L253" s="58">
        <f t="shared" si="21"/>
        <v>3.7290444187213798</v>
      </c>
      <c r="M253" s="2">
        <f t="shared" si="23"/>
        <v>61.200000000000301</v>
      </c>
      <c r="N253" s="58">
        <f t="shared" si="22"/>
        <v>6.3398692810456723</v>
      </c>
    </row>
    <row r="254" spans="1:14" ht="13.5" thickBot="1" x14ac:dyDescent="0.25">
      <c r="A254" s="408"/>
      <c r="B254" s="409"/>
      <c r="C254" s="86" t="s">
        <v>8</v>
      </c>
      <c r="D254" s="184">
        <v>70</v>
      </c>
      <c r="E254" s="115"/>
      <c r="F254" s="115"/>
      <c r="J254" s="58">
        <f t="shared" si="19"/>
        <v>0.43030825268379641</v>
      </c>
      <c r="K254" s="58">
        <f t="shared" si="20"/>
        <v>1.5310359396381057</v>
      </c>
      <c r="L254" s="58">
        <f t="shared" si="21"/>
        <v>3.7406161333411418</v>
      </c>
      <c r="M254" s="2">
        <f t="shared" si="23"/>
        <v>61.300000000000303</v>
      </c>
      <c r="N254" s="58">
        <f t="shared" si="22"/>
        <v>6.3132137030994286</v>
      </c>
    </row>
    <row r="255" spans="1:14" x14ac:dyDescent="0.2">
      <c r="A255" s="415" t="s">
        <v>30</v>
      </c>
      <c r="B255" s="407"/>
      <c r="C255" s="85" t="s">
        <v>61</v>
      </c>
      <c r="D255" s="266">
        <f>'SDA 10'!$B$15+'SDA 10'!$C$15</f>
        <v>0</v>
      </c>
      <c r="E255" s="16"/>
      <c r="F255" s="16"/>
      <c r="J255" s="58">
        <f t="shared" si="19"/>
        <v>0.43387355171414471</v>
      </c>
      <c r="K255" s="58">
        <f t="shared" si="20"/>
        <v>1.5383203921209561</v>
      </c>
      <c r="L255" s="58">
        <f t="shared" si="21"/>
        <v>3.7521911202735025</v>
      </c>
      <c r="M255" s="2">
        <f t="shared" si="23"/>
        <v>61.400000000000304</v>
      </c>
      <c r="N255" s="58">
        <f t="shared" si="22"/>
        <v>6.2866449511399836</v>
      </c>
    </row>
    <row r="256" spans="1:14" ht="13.5" thickBot="1" x14ac:dyDescent="0.25">
      <c r="A256" s="408"/>
      <c r="B256" s="409"/>
      <c r="C256" s="86" t="s">
        <v>8</v>
      </c>
      <c r="D256" s="184">
        <v>74</v>
      </c>
      <c r="E256" s="115"/>
      <c r="F256" s="115"/>
      <c r="J256" s="58">
        <f t="shared" si="19"/>
        <v>0.43745266321774884</v>
      </c>
      <c r="K256" s="58">
        <f t="shared" si="20"/>
        <v>1.5456167428710699</v>
      </c>
      <c r="L256" s="58">
        <f t="shared" si="21"/>
        <v>3.7637693584742169</v>
      </c>
      <c r="M256" s="2">
        <f t="shared" si="23"/>
        <v>61.500000000000306</v>
      </c>
      <c r="N256" s="58">
        <f t="shared" si="22"/>
        <v>6.260162601625936</v>
      </c>
    </row>
    <row r="257" spans="1:14" x14ac:dyDescent="0.2">
      <c r="A257" s="406" t="s">
        <v>144</v>
      </c>
      <c r="B257" s="407"/>
      <c r="C257" s="85" t="s">
        <v>61</v>
      </c>
      <c r="D257" s="266">
        <f>'SDA 10'!$B$16+'SDA 10'!$B$18+'SDA 10'!$C$16+'SDA 10'!$C$18</f>
        <v>0</v>
      </c>
      <c r="E257" s="202" t="s">
        <v>7</v>
      </c>
      <c r="F257" s="203" t="s">
        <v>9</v>
      </c>
      <c r="J257" s="58">
        <f t="shared" si="19"/>
        <v>0.44104559380024688</v>
      </c>
      <c r="K257" s="58">
        <f t="shared" si="20"/>
        <v>1.5529249808548626</v>
      </c>
      <c r="L257" s="58">
        <f t="shared" si="21"/>
        <v>3.7753508270365299</v>
      </c>
      <c r="M257" s="2">
        <f t="shared" si="23"/>
        <v>61.600000000000307</v>
      </c>
      <c r="N257" s="58">
        <f t="shared" si="22"/>
        <v>6.2337662337661541</v>
      </c>
    </row>
    <row r="258" spans="1:14" ht="13.5" thickBot="1" x14ac:dyDescent="0.25">
      <c r="A258" s="408"/>
      <c r="B258" s="409"/>
      <c r="C258" s="86" t="s">
        <v>8</v>
      </c>
      <c r="D258" s="185">
        <v>98</v>
      </c>
      <c r="E258" s="183">
        <f>IF($B$18&gt;0,(D253*D254+D255*D256+D257*D258)/$B$18,0)</f>
        <v>0</v>
      </c>
      <c r="F258" s="197">
        <f>IF(E258&gt;0,1000/E258-10,1000)</f>
        <v>1000</v>
      </c>
      <c r="J258" s="58">
        <f t="shared" si="19"/>
        <v>0.44465235031113048</v>
      </c>
      <c r="K258" s="58">
        <f t="shared" si="20"/>
        <v>1.5602450951927729</v>
      </c>
      <c r="L258" s="58">
        <f t="shared" si="21"/>
        <v>3.7869355051900673</v>
      </c>
      <c r="M258" s="2">
        <f t="shared" si="23"/>
        <v>61.700000000000308</v>
      </c>
      <c r="N258" s="58">
        <f t="shared" si="22"/>
        <v>6.2074554294974895</v>
      </c>
    </row>
    <row r="259" spans="1:14" x14ac:dyDescent="0.2">
      <c r="B259" s="3"/>
      <c r="F259" s="88"/>
      <c r="J259" s="58">
        <f t="shared" si="19"/>
        <v>0.44827293984316446</v>
      </c>
      <c r="K259" s="58">
        <f t="shared" si="20"/>
        <v>1.5675770751581952</v>
      </c>
      <c r="L259" s="58">
        <f t="shared" si="21"/>
        <v>3.7985233722997234</v>
      </c>
      <c r="M259" s="2">
        <f t="shared" si="23"/>
        <v>61.80000000000031</v>
      </c>
      <c r="N259" s="58">
        <f t="shared" si="22"/>
        <v>6.1812297734627037</v>
      </c>
    </row>
    <row r="260" spans="1:14" x14ac:dyDescent="0.2">
      <c r="A260" s="40"/>
      <c r="C260" s="141"/>
      <c r="D260" s="227" t="str">
        <f>$B$4</f>
        <v>2-year storm</v>
      </c>
      <c r="E260" s="227" t="str">
        <f>$C$4</f>
        <v>15-year storm</v>
      </c>
      <c r="F260" s="227" t="str">
        <f>$D$4</f>
        <v>100-year storm</v>
      </c>
      <c r="J260" s="58">
        <f t="shared" si="19"/>
        <v>0.4519073697318195</v>
      </c>
      <c r="K260" s="58">
        <f t="shared" si="20"/>
        <v>1.574920910176429</v>
      </c>
      <c r="L260" s="58">
        <f t="shared" si="21"/>
        <v>3.8101144078645741</v>
      </c>
      <c r="M260" s="2">
        <f t="shared" si="23"/>
        <v>61.900000000000311</v>
      </c>
      <c r="N260" s="58">
        <f t="shared" si="22"/>
        <v>6.1550888529886087</v>
      </c>
    </row>
    <row r="261" spans="1:14" x14ac:dyDescent="0.2">
      <c r="A261" s="404" t="s">
        <v>213</v>
      </c>
      <c r="B261" s="404"/>
      <c r="C261" s="405"/>
      <c r="D261" s="197">
        <f>IF(B$5&gt;0.2*($F258),(B$5-0.2*($F258))^2/(B$5+0.8*($F258)),0)</f>
        <v>0</v>
      </c>
      <c r="E261" s="197">
        <f>IF(C$5&gt;0.2*($F258),(C$5-0.2*($F258))^2/(C$5+0.8*($F258)),0)</f>
        <v>0</v>
      </c>
      <c r="F261" s="197">
        <f>IF(D$5&gt;0.2*($F258),(D$5-0.2*($F258))^2/(D$5+0.8*($F258)),0)</f>
        <v>0</v>
      </c>
      <c r="J261" s="58">
        <f t="shared" si="19"/>
        <v>0.45555564755471711</v>
      </c>
      <c r="K261" s="58">
        <f t="shared" si="20"/>
        <v>1.5822765898236322</v>
      </c>
      <c r="L261" s="58">
        <f t="shared" si="21"/>
        <v>3.8217085915167952</v>
      </c>
      <c r="M261" s="2">
        <f t="shared" si="23"/>
        <v>62.000000000000313</v>
      </c>
      <c r="N261" s="58">
        <f t="shared" si="22"/>
        <v>6.1290322580644343</v>
      </c>
    </row>
    <row r="262" spans="1:14" x14ac:dyDescent="0.2">
      <c r="A262" s="404" t="s">
        <v>214</v>
      </c>
      <c r="B262" s="404"/>
      <c r="C262" s="405"/>
      <c r="D262" s="197">
        <f>IF($B$18&gt;0,D261-$C$18*12/$B$18,D261)</f>
        <v>0</v>
      </c>
      <c r="E262" s="197">
        <f>IF($B$18&gt;0,E261-$C$18*12/$B$18,E261)</f>
        <v>0</v>
      </c>
      <c r="F262" s="197">
        <f>IF($B$18&gt;0,F261-$C$18*12/$B$18,F261)</f>
        <v>0</v>
      </c>
      <c r="J262" s="58">
        <f t="shared" si="19"/>
        <v>0.45921778113109302</v>
      </c>
      <c r="K262" s="58">
        <f t="shared" si="20"/>
        <v>1.589644103825792</v>
      </c>
      <c r="L262" s="58">
        <f t="shared" si="21"/>
        <v>3.8333059030205883</v>
      </c>
      <c r="M262" s="2">
        <f t="shared" si="23"/>
        <v>62.100000000000314</v>
      </c>
      <c r="N262" s="58">
        <f t="shared" si="22"/>
        <v>6.1030595813203696</v>
      </c>
    </row>
    <row r="263" spans="1:14" x14ac:dyDescent="0.2">
      <c r="A263" s="260"/>
      <c r="B263" s="260"/>
      <c r="C263" s="29" t="s">
        <v>28</v>
      </c>
      <c r="D263" s="198">
        <f>IF(D262&gt;0,VLOOKUP(D262,J$25:$N$639,4),0)</f>
        <v>0</v>
      </c>
      <c r="E263" s="198">
        <f>IF(E262&gt;0,VLOOKUP(E262,K$25:$N$639,3),0)</f>
        <v>0</v>
      </c>
      <c r="F263" s="198">
        <f>IF(F262&gt;0,VLOOKUP(F262,L$25:$N$639,2),0)</f>
        <v>0</v>
      </c>
      <c r="J263" s="58">
        <f t="shared" si="19"/>
        <v>0.4628937785212674</v>
      </c>
      <c r="K263" s="58">
        <f t="shared" si="20"/>
        <v>1.5970234420577019</v>
      </c>
      <c r="L263" s="58">
        <f t="shared" si="21"/>
        <v>3.8449063222711213</v>
      </c>
      <c r="M263" s="2">
        <f t="shared" si="23"/>
        <v>62.200000000000315</v>
      </c>
      <c r="N263" s="58">
        <f t="shared" si="22"/>
        <v>6.0771704180063502</v>
      </c>
    </row>
    <row r="264" spans="1:14" x14ac:dyDescent="0.2">
      <c r="J264" s="58">
        <f t="shared" si="19"/>
        <v>0.4665836480261335</v>
      </c>
      <c r="K264" s="58">
        <f t="shared" si="20"/>
        <v>1.6044145945419472</v>
      </c>
      <c r="L264" s="58">
        <f t="shared" si="21"/>
        <v>3.8565098292934756</v>
      </c>
      <c r="M264" s="2">
        <f t="shared" si="23"/>
        <v>62.300000000000317</v>
      </c>
      <c r="N264" s="58">
        <f t="shared" si="22"/>
        <v>6.0513643659710254</v>
      </c>
    </row>
    <row r="265" spans="1:14" x14ac:dyDescent="0.2">
      <c r="J265" s="58">
        <f t="shared" si="19"/>
        <v>0.47028739818665621</v>
      </c>
      <c r="K265" s="58">
        <f t="shared" si="20"/>
        <v>1.6118175514479045</v>
      </c>
      <c r="L265" s="58">
        <f t="shared" si="21"/>
        <v>3.8681164042416021</v>
      </c>
      <c r="M265" s="2">
        <f t="shared" si="23"/>
        <v>62.400000000000318</v>
      </c>
      <c r="N265" s="58">
        <f t="shared" si="22"/>
        <v>6.0256410256409438</v>
      </c>
    </row>
    <row r="266" spans="1:14" x14ac:dyDescent="0.2">
      <c r="J266" s="58">
        <f t="shared" si="19"/>
        <v>0.47400503778338715</v>
      </c>
      <c r="K266" s="58">
        <f t="shared" si="20"/>
        <v>1.6192323030907521</v>
      </c>
      <c r="L266" s="58">
        <f t="shared" si="21"/>
        <v>3.8797260273972975</v>
      </c>
      <c r="M266" s="2">
        <f t="shared" si="23"/>
        <v>62.50000000000032</v>
      </c>
      <c r="N266" s="58">
        <f t="shared" si="22"/>
        <v>5.9999999999999183</v>
      </c>
    </row>
    <row r="267" spans="1:14" x14ac:dyDescent="0.2">
      <c r="J267" s="58">
        <f t="shared" si="19"/>
        <v>0.47773657583598955</v>
      </c>
      <c r="K267" s="58">
        <f t="shared" si="20"/>
        <v>1.6266588399304858</v>
      </c>
      <c r="L267" s="58">
        <f t="shared" si="21"/>
        <v>3.8913386791691762</v>
      </c>
      <c r="M267" s="2">
        <f t="shared" si="23"/>
        <v>62.600000000000321</v>
      </c>
      <c r="N267" s="58">
        <f t="shared" si="22"/>
        <v>5.9744408945686089</v>
      </c>
    </row>
    <row r="268" spans="1:14" x14ac:dyDescent="0.2">
      <c r="J268" s="58">
        <f t="shared" si="19"/>
        <v>0.48148202160277809</v>
      </c>
      <c r="K268" s="58">
        <f t="shared" si="20"/>
        <v>1.6340971525709493</v>
      </c>
      <c r="L268" s="58">
        <f t="shared" si="21"/>
        <v>3.9029543400916626</v>
      </c>
      <c r="M268" s="2">
        <f t="shared" si="23"/>
        <v>62.700000000000323</v>
      </c>
      <c r="N268" s="58">
        <f t="shared" si="22"/>
        <v>5.9489633173842886</v>
      </c>
    </row>
    <row r="269" spans="1:14" x14ac:dyDescent="0.2">
      <c r="J269" s="58">
        <f t="shared" si="19"/>
        <v>0.48524138458027161</v>
      </c>
      <c r="K269" s="58">
        <f t="shared" si="20"/>
        <v>1.641547231758872</v>
      </c>
      <c r="L269" s="58">
        <f t="shared" si="21"/>
        <v>3.9145729908239915</v>
      </c>
      <c r="M269" s="2">
        <f t="shared" si="23"/>
        <v>62.800000000000324</v>
      </c>
      <c r="N269" s="58">
        <f t="shared" si="22"/>
        <v>5.9235668789808091</v>
      </c>
    </row>
    <row r="270" spans="1:14" x14ac:dyDescent="0.2">
      <c r="J270" s="58">
        <f t="shared" si="19"/>
        <v>0.48901467450275671</v>
      </c>
      <c r="K270" s="58">
        <f t="shared" si="20"/>
        <v>1.6490090683829108</v>
      </c>
      <c r="L270" s="58">
        <f t="shared" si="21"/>
        <v>3.9261946121492022</v>
      </c>
      <c r="M270" s="2">
        <f t="shared" si="23"/>
        <v>62.900000000000325</v>
      </c>
      <c r="N270" s="58">
        <f t="shared" si="22"/>
        <v>5.8982511923687575</v>
      </c>
    </row>
    <row r="271" spans="1:14" x14ac:dyDescent="0.2">
      <c r="J271" s="58">
        <f t="shared" si="19"/>
        <v>0.49280190134186774</v>
      </c>
      <c r="K271" s="58">
        <f t="shared" si="20"/>
        <v>1.6564826534727179</v>
      </c>
      <c r="L271" s="58">
        <f t="shared" si="21"/>
        <v>3.9378191849731761</v>
      </c>
      <c r="M271" s="2">
        <f t="shared" si="23"/>
        <v>63.000000000000327</v>
      </c>
      <c r="N271" s="58">
        <f t="shared" si="22"/>
        <v>5.87301587301579</v>
      </c>
    </row>
    <row r="272" spans="1:14" x14ac:dyDescent="0.2">
      <c r="J272" s="58">
        <f t="shared" si="19"/>
        <v>0.49660307530617503</v>
      </c>
      <c r="K272" s="58">
        <f t="shared" si="20"/>
        <v>1.6639679781979995</v>
      </c>
      <c r="L272" s="58">
        <f t="shared" si="21"/>
        <v>3.9494466903236476</v>
      </c>
      <c r="M272" s="2">
        <f t="shared" si="23"/>
        <v>63.100000000000328</v>
      </c>
      <c r="N272" s="58">
        <f t="shared" si="22"/>
        <v>5.8478605388271756</v>
      </c>
    </row>
    <row r="273" spans="10:14" x14ac:dyDescent="0.2">
      <c r="J273" s="58">
        <f t="shared" si="19"/>
        <v>0.50041820684078964</v>
      </c>
      <c r="K273" s="58">
        <f t="shared" si="20"/>
        <v>1.6714650338675945</v>
      </c>
      <c r="L273" s="58">
        <f t="shared" si="21"/>
        <v>3.9610771093492478</v>
      </c>
      <c r="M273" s="2">
        <f t="shared" si="23"/>
        <v>63.20000000000033</v>
      </c>
      <c r="N273" s="58">
        <f t="shared" si="22"/>
        <v>5.8227848101264996</v>
      </c>
    </row>
    <row r="274" spans="10:14" x14ac:dyDescent="0.2">
      <c r="J274" s="58">
        <f t="shared" si="19"/>
        <v>0.50424730662697848</v>
      </c>
      <c r="K274" s="58">
        <f t="shared" si="20"/>
        <v>1.6789738119285593</v>
      </c>
      <c r="L274" s="58">
        <f t="shared" si="21"/>
        <v>3.9727104233185453</v>
      </c>
      <c r="M274" s="2">
        <f t="shared" si="23"/>
        <v>63.300000000000331</v>
      </c>
      <c r="N274" s="58">
        <f t="shared" si="22"/>
        <v>5.7977883096365677</v>
      </c>
    </row>
    <row r="275" spans="10:14" x14ac:dyDescent="0.2">
      <c r="J275" s="58">
        <f t="shared" si="19"/>
        <v>0.50809038558179087</v>
      </c>
      <c r="K275" s="58">
        <f t="shared" si="20"/>
        <v>1.6864943039652618</v>
      </c>
      <c r="L275" s="58">
        <f t="shared" si="21"/>
        <v>3.9843466136191004</v>
      </c>
      <c r="M275" s="2">
        <f t="shared" si="23"/>
        <v>63.400000000000333</v>
      </c>
      <c r="N275" s="58">
        <f t="shared" si="22"/>
        <v>5.7728706624604857</v>
      </c>
    </row>
    <row r="276" spans="10:14" x14ac:dyDescent="0.2">
      <c r="J276" s="58">
        <f t="shared" si="19"/>
        <v>0.51194745485770177</v>
      </c>
      <c r="K276" s="58">
        <f t="shared" si="20"/>
        <v>1.6940265016984888</v>
      </c>
      <c r="L276" s="58">
        <f t="shared" si="21"/>
        <v>3.9959856617565341</v>
      </c>
      <c r="M276" s="2">
        <f t="shared" si="23"/>
        <v>63.500000000000334</v>
      </c>
      <c r="N276" s="58">
        <f t="shared" si="22"/>
        <v>5.7480314960629091</v>
      </c>
    </row>
    <row r="277" spans="10:14" x14ac:dyDescent="0.2">
      <c r="J277" s="58">
        <f t="shared" si="19"/>
        <v>0.51581852584226096</v>
      </c>
      <c r="K277" s="58">
        <f t="shared" si="20"/>
        <v>1.7015703969845517</v>
      </c>
      <c r="L277" s="58">
        <f t="shared" si="21"/>
        <v>4.0076275493535913</v>
      </c>
      <c r="M277" s="2">
        <f t="shared" si="23"/>
        <v>63.600000000000335</v>
      </c>
      <c r="N277" s="58">
        <f t="shared" si="22"/>
        <v>5.7232704402514898</v>
      </c>
    </row>
    <row r="278" spans="10:14" x14ac:dyDescent="0.2">
      <c r="J278" s="58">
        <f t="shared" si="19"/>
        <v>0.51970361015776079</v>
      </c>
      <c r="K278" s="58">
        <f t="shared" si="20"/>
        <v>1.709125981814412</v>
      </c>
      <c r="L278" s="58">
        <f t="shared" si="21"/>
        <v>4.0192722581492237</v>
      </c>
      <c r="M278" s="2">
        <f t="shared" si="23"/>
        <v>63.700000000000337</v>
      </c>
      <c r="N278" s="58">
        <f t="shared" si="22"/>
        <v>5.698587127158472</v>
      </c>
    </row>
    <row r="279" spans="10:14" x14ac:dyDescent="0.2">
      <c r="J279" s="58">
        <f t="shared" si="19"/>
        <v>0.52360271966091065</v>
      </c>
      <c r="K279" s="58">
        <f t="shared" si="20"/>
        <v>1.7166932483128108</v>
      </c>
      <c r="L279" s="58">
        <f t="shared" si="21"/>
        <v>4.0309197699976815</v>
      </c>
      <c r="M279" s="2">
        <f t="shared" si="23"/>
        <v>63.800000000000338</v>
      </c>
      <c r="N279" s="58">
        <f t="shared" si="22"/>
        <v>5.673981191222488</v>
      </c>
    </row>
    <row r="280" spans="10:14" x14ac:dyDescent="0.2">
      <c r="J280" s="58">
        <f t="shared" si="19"/>
        <v>0.52751586644252824</v>
      </c>
      <c r="K280" s="58">
        <f t="shared" si="20"/>
        <v>1.7242721887374088</v>
      </c>
      <c r="L280" s="58">
        <f t="shared" si="21"/>
        <v>4.0425700668676123</v>
      </c>
      <c r="M280" s="2">
        <f t="shared" si="23"/>
        <v>63.90000000000034</v>
      </c>
      <c r="N280" s="58">
        <f t="shared" si="22"/>
        <v>5.6494522691704958</v>
      </c>
    </row>
    <row r="281" spans="10:14" x14ac:dyDescent="0.2">
      <c r="J281" s="58">
        <f t="shared" ref="J281:J344" si="24">IF(B$5&gt;0.2*($N281),(B$5-0.2*($N281))^2/(B$5+0.8*($N281)),0)</f>
        <v>0.53144306282723852</v>
      </c>
      <c r="K281" s="58">
        <f t="shared" ref="K281:K344" si="25">IF(C$5&gt;0.2*($N281),(C$5-0.2*($N281))^2/(C$5+0.8*($N281)),0)</f>
        <v>1.73186279547793</v>
      </c>
      <c r="L281" s="58">
        <f t="shared" ref="L281:L344" si="26">IF(D$5&gt;0.2*($N281),(D$5-0.2*($N281))^2/(D$5+0.8*($N281)),0)</f>
        <v>4.0542231308411614</v>
      </c>
      <c r="M281" s="2">
        <f t="shared" si="23"/>
        <v>64.000000000000341</v>
      </c>
      <c r="N281" s="58">
        <f t="shared" si="22"/>
        <v>5.6249999999999165</v>
      </c>
    </row>
    <row r="282" spans="10:14" x14ac:dyDescent="0.2">
      <c r="J282" s="58">
        <f t="shared" si="24"/>
        <v>0.53538432137318759</v>
      </c>
      <c r="K282" s="58">
        <f t="shared" si="25"/>
        <v>1.7394650610553186</v>
      </c>
      <c r="L282" s="58">
        <f t="shared" si="26"/>
        <v>4.0658789441130878</v>
      </c>
      <c r="M282" s="2">
        <f t="shared" si="23"/>
        <v>64.100000000000335</v>
      </c>
      <c r="N282" s="58">
        <f t="shared" si="22"/>
        <v>5.6006240249609167</v>
      </c>
    </row>
    <row r="283" spans="10:14" x14ac:dyDescent="0.2">
      <c r="J283" s="58">
        <f t="shared" si="24"/>
        <v>0.53933965487176749</v>
      </c>
      <c r="K283" s="58">
        <f t="shared" si="25"/>
        <v>1.7470789781209093</v>
      </c>
      <c r="L283" s="58">
        <f t="shared" si="26"/>
        <v>4.0775374889898979</v>
      </c>
      <c r="M283" s="2">
        <f t="shared" si="23"/>
        <v>64.20000000000033</v>
      </c>
      <c r="N283" s="58">
        <f t="shared" si="22"/>
        <v>5.5763239875388599</v>
      </c>
    </row>
    <row r="284" spans="10:14" x14ac:dyDescent="0.2">
      <c r="J284" s="58">
        <f t="shared" si="24"/>
        <v>0.54330907634735204</v>
      </c>
      <c r="K284" s="58">
        <f t="shared" si="25"/>
        <v>1.754704539455588</v>
      </c>
      <c r="L284" s="58">
        <f t="shared" si="26"/>
        <v>4.089198747888954</v>
      </c>
      <c r="M284" s="2">
        <f t="shared" si="23"/>
        <v>64.300000000000324</v>
      </c>
      <c r="N284" s="58">
        <f t="shared" si="22"/>
        <v>5.5520995334369356</v>
      </c>
    </row>
    <row r="285" spans="10:14" x14ac:dyDescent="0.2">
      <c r="J285" s="58">
        <f t="shared" si="24"/>
        <v>0.5472925990570463</v>
      </c>
      <c r="K285" s="58">
        <f t="shared" si="25"/>
        <v>1.7623417379689825</v>
      </c>
      <c r="L285" s="58">
        <f t="shared" si="26"/>
        <v>4.1008627033376364</v>
      </c>
      <c r="M285" s="2">
        <f t="shared" si="23"/>
        <v>64.400000000000318</v>
      </c>
      <c r="N285" s="58">
        <f t="shared" si="22"/>
        <v>5.5279503105589303</v>
      </c>
    </row>
    <row r="286" spans="10:14" x14ac:dyDescent="0.2">
      <c r="J286" s="58">
        <f t="shared" si="24"/>
        <v>0.55129023649044495</v>
      </c>
      <c r="K286" s="58">
        <f t="shared" si="25"/>
        <v>1.7699905666986484</v>
      </c>
      <c r="L286" s="58">
        <f t="shared" si="26"/>
        <v>4.1125293379724788</v>
      </c>
      <c r="M286" s="2">
        <f t="shared" si="23"/>
        <v>64.500000000000313</v>
      </c>
      <c r="N286" s="58">
        <f t="shared" si="22"/>
        <v>5.5038759689921726</v>
      </c>
    </row>
    <row r="287" spans="10:14" x14ac:dyDescent="0.2">
      <c r="J287" s="58">
        <f t="shared" si="24"/>
        <v>0.55530200236940364</v>
      </c>
      <c r="K287" s="58">
        <f t="shared" si="25"/>
        <v>1.7776510188092634</v>
      </c>
      <c r="L287" s="58">
        <f t="shared" si="26"/>
        <v>4.124198634538323</v>
      </c>
      <c r="M287" s="2">
        <f t="shared" si="23"/>
        <v>64.600000000000307</v>
      </c>
      <c r="N287" s="58">
        <f t="shared" si="22"/>
        <v>5.4798761609906386</v>
      </c>
    </row>
    <row r="288" spans="10:14" x14ac:dyDescent="0.2">
      <c r="J288" s="58">
        <f t="shared" si="24"/>
        <v>0.55932791064782528</v>
      </c>
      <c r="K288" s="58">
        <f t="shared" si="25"/>
        <v>1.7853230875918316</v>
      </c>
      <c r="L288" s="58">
        <f t="shared" si="26"/>
        <v>4.1358705758874823</v>
      </c>
      <c r="M288" s="2">
        <f t="shared" si="23"/>
        <v>64.700000000000301</v>
      </c>
      <c r="N288" s="58">
        <f t="shared" si="22"/>
        <v>5.455950540958197</v>
      </c>
    </row>
    <row r="289" spans="10:14" x14ac:dyDescent="0.2">
      <c r="J289" s="58">
        <f t="shared" si="24"/>
        <v>0.56336797551144946</v>
      </c>
      <c r="K289" s="58">
        <f t="shared" si="25"/>
        <v>1.7930067664629044</v>
      </c>
      <c r="L289" s="58">
        <f t="shared" si="26"/>
        <v>4.1475451449789205</v>
      </c>
      <c r="M289" s="2">
        <f t="shared" si="23"/>
        <v>64.800000000000296</v>
      </c>
      <c r="N289" s="58">
        <f t="shared" si="22"/>
        <v>5.4320987654320287</v>
      </c>
    </row>
    <row r="290" spans="10:14" x14ac:dyDescent="0.2">
      <c r="J290" s="58">
        <f t="shared" si="24"/>
        <v>0.5674222113776628</v>
      </c>
      <c r="K290" s="58">
        <f t="shared" si="25"/>
        <v>1.8007020489637893</v>
      </c>
      <c r="L290" s="58">
        <f t="shared" si="26"/>
        <v>4.1592223248774154</v>
      </c>
      <c r="M290" s="2">
        <f t="shared" si="23"/>
        <v>64.90000000000029</v>
      </c>
      <c r="N290" s="58">
        <f t="shared" si="22"/>
        <v>5.4083204930661868</v>
      </c>
    </row>
    <row r="291" spans="10:14" x14ac:dyDescent="0.2">
      <c r="J291" s="58">
        <f t="shared" si="24"/>
        <v>0.57149063289531288</v>
      </c>
      <c r="K291" s="58">
        <f t="shared" si="25"/>
        <v>1.808408928759786</v>
      </c>
      <c r="L291" s="58">
        <f t="shared" si="26"/>
        <v>4.1709020987527587</v>
      </c>
      <c r="M291" s="2">
        <f t="shared" si="23"/>
        <v>65.000000000000284</v>
      </c>
      <c r="N291" s="58">
        <f t="shared" si="22"/>
        <v>5.3846153846153175</v>
      </c>
    </row>
    <row r="292" spans="10:14" x14ac:dyDescent="0.2">
      <c r="J292" s="58">
        <f t="shared" si="24"/>
        <v>0.5755732549445407</v>
      </c>
      <c r="K292" s="58">
        <f t="shared" si="25"/>
        <v>1.8161273996394176</v>
      </c>
      <c r="L292" s="58">
        <f t="shared" si="26"/>
        <v>4.1825844498789371</v>
      </c>
      <c r="M292" s="2">
        <f t="shared" si="23"/>
        <v>65.100000000000279</v>
      </c>
      <c r="N292" s="58">
        <f t="shared" si="22"/>
        <v>5.3609831029185209</v>
      </c>
    </row>
    <row r="293" spans="10:14" x14ac:dyDescent="0.2">
      <c r="J293" s="58">
        <f t="shared" si="24"/>
        <v>0.57967009263661562</v>
      </c>
      <c r="K293" s="58">
        <f t="shared" si="25"/>
        <v>1.8238574555136782</v>
      </c>
      <c r="L293" s="58">
        <f t="shared" si="26"/>
        <v>4.1942693616333431</v>
      </c>
      <c r="M293" s="2">
        <f t="shared" si="23"/>
        <v>65.200000000000273</v>
      </c>
      <c r="N293" s="58">
        <f t="shared" si="22"/>
        <v>5.3374233128833719</v>
      </c>
    </row>
    <row r="294" spans="10:14" x14ac:dyDescent="0.2">
      <c r="J294" s="58">
        <f t="shared" si="24"/>
        <v>0.58378116131379132</v>
      </c>
      <c r="K294" s="58">
        <f t="shared" si="25"/>
        <v>1.8315990904152808</v>
      </c>
      <c r="L294" s="58">
        <f t="shared" si="26"/>
        <v>4.2059568174959807</v>
      </c>
      <c r="M294" s="2">
        <f t="shared" si="23"/>
        <v>65.300000000000267</v>
      </c>
      <c r="N294" s="58">
        <f t="shared" si="22"/>
        <v>5.3139356814700758</v>
      </c>
    </row>
    <row r="295" spans="10:14" x14ac:dyDescent="0.2">
      <c r="J295" s="58">
        <f t="shared" si="24"/>
        <v>0.58790647654916406</v>
      </c>
      <c r="K295" s="58">
        <f t="shared" si="25"/>
        <v>1.8393522984979145</v>
      </c>
      <c r="L295" s="58">
        <f t="shared" si="26"/>
        <v>4.2176468010486747</v>
      </c>
      <c r="M295" s="2">
        <f t="shared" si="23"/>
        <v>65.400000000000261</v>
      </c>
      <c r="N295" s="58">
        <f t="shared" si="22"/>
        <v>5.2905198776757807</v>
      </c>
    </row>
    <row r="296" spans="10:14" x14ac:dyDescent="0.2">
      <c r="J296" s="58">
        <f t="shared" si="24"/>
        <v>0.59204605414654976</v>
      </c>
      <c r="K296" s="58">
        <f t="shared" si="25"/>
        <v>1.8471170740355105</v>
      </c>
      <c r="L296" s="58">
        <f t="shared" si="26"/>
        <v>4.2293392959742997</v>
      </c>
      <c r="M296" s="2">
        <f t="shared" si="23"/>
        <v>65.500000000000256</v>
      </c>
      <c r="N296" s="58">
        <f t="shared" si="22"/>
        <v>5.2671755725190241</v>
      </c>
    </row>
    <row r="297" spans="10:14" x14ac:dyDescent="0.2">
      <c r="J297" s="58">
        <f t="shared" si="24"/>
        <v>0.59619991014036366</v>
      </c>
      <c r="K297" s="58">
        <f t="shared" si="25"/>
        <v>1.8548934114215183</v>
      </c>
      <c r="L297" s="58">
        <f t="shared" si="26"/>
        <v>4.2410342860560073</v>
      </c>
      <c r="M297" s="2">
        <f t="shared" si="23"/>
        <v>65.60000000000025</v>
      </c>
      <c r="N297" s="58">
        <f t="shared" ref="N297:N360" si="27">IF(M297&gt;0,1000/M297-10,1000)</f>
        <v>5.2439024390243318</v>
      </c>
    </row>
    <row r="298" spans="10:14" x14ac:dyDescent="0.2">
      <c r="J298" s="58">
        <f t="shared" si="24"/>
        <v>0.60036806079552019</v>
      </c>
      <c r="K298" s="58">
        <f t="shared" si="25"/>
        <v>1.8626813051681803</v>
      </c>
      <c r="L298" s="58">
        <f t="shared" si="26"/>
        <v>4.2527317551764652</v>
      </c>
      <c r="M298" s="2">
        <f t="shared" si="23"/>
        <v>65.700000000000244</v>
      </c>
      <c r="N298" s="58">
        <f t="shared" si="27"/>
        <v>5.2207001522069447</v>
      </c>
    </row>
    <row r="299" spans="10:14" x14ac:dyDescent="0.2">
      <c r="J299" s="58">
        <f t="shared" si="24"/>
        <v>0.60455052260733766</v>
      </c>
      <c r="K299" s="58">
        <f t="shared" si="25"/>
        <v>1.8704807499058203</v>
      </c>
      <c r="L299" s="58">
        <f t="shared" si="26"/>
        <v>4.2644316873170949</v>
      </c>
      <c r="M299" s="2">
        <f t="shared" si="23"/>
        <v>65.800000000000239</v>
      </c>
      <c r="N299" s="58">
        <f t="shared" si="27"/>
        <v>5.1975683890576949</v>
      </c>
    </row>
    <row r="300" spans="10:14" x14ac:dyDescent="0.2">
      <c r="J300" s="58">
        <f t="shared" si="24"/>
        <v>0.60874731230145485</v>
      </c>
      <c r="K300" s="58">
        <f t="shared" si="25"/>
        <v>1.8782917403821384</v>
      </c>
      <c r="L300" s="58">
        <f t="shared" si="26"/>
        <v>4.2761340665573266</v>
      </c>
      <c r="M300" s="2">
        <f t="shared" si="23"/>
        <v>65.900000000000233</v>
      </c>
      <c r="N300" s="58">
        <f t="shared" si="27"/>
        <v>5.1745068285280187</v>
      </c>
    </row>
    <row r="301" spans="10:14" x14ac:dyDescent="0.2">
      <c r="J301" s="58">
        <f t="shared" si="24"/>
        <v>0.612958446833759</v>
      </c>
      <c r="K301" s="58">
        <f t="shared" si="25"/>
        <v>1.8861142714615147</v>
      </c>
      <c r="L301" s="58">
        <f t="shared" si="26"/>
        <v>4.2878388770738631</v>
      </c>
      <c r="M301" s="2">
        <f t="shared" si="23"/>
        <v>66.000000000000227</v>
      </c>
      <c r="N301" s="58">
        <f t="shared" si="27"/>
        <v>5.151515151515099</v>
      </c>
    </row>
    <row r="302" spans="10:14" x14ac:dyDescent="0.2">
      <c r="J302" s="58">
        <f t="shared" si="24"/>
        <v>0.61718394339032678</v>
      </c>
      <c r="K302" s="58">
        <f t="shared" si="25"/>
        <v>1.8939483381243067</v>
      </c>
      <c r="L302" s="58">
        <f t="shared" si="26"/>
        <v>4.2995461031399289</v>
      </c>
      <c r="M302" s="2">
        <f t="shared" si="23"/>
        <v>66.100000000000222</v>
      </c>
      <c r="N302" s="58">
        <f t="shared" si="27"/>
        <v>5.1285930408471501</v>
      </c>
    </row>
    <row r="303" spans="10:14" x14ac:dyDescent="0.2">
      <c r="J303" s="58">
        <f t="shared" si="24"/>
        <v>0.6214238193873719</v>
      </c>
      <c r="K303" s="58">
        <f t="shared" si="25"/>
        <v>1.9017939354661755</v>
      </c>
      <c r="L303" s="58">
        <f t="shared" si="26"/>
        <v>4.311255729124551</v>
      </c>
      <c r="M303" s="2">
        <f t="shared" si="23"/>
        <v>66.200000000000216</v>
      </c>
      <c r="N303" s="58">
        <f t="shared" si="27"/>
        <v>5.1057401812688337</v>
      </c>
    </row>
    <row r="304" spans="10:14" x14ac:dyDescent="0.2">
      <c r="J304" s="58">
        <f t="shared" si="24"/>
        <v>0.62567809247120698</v>
      </c>
      <c r="K304" s="58">
        <f t="shared" si="25"/>
        <v>1.9096510586974011</v>
      </c>
      <c r="L304" s="58">
        <f t="shared" si="26"/>
        <v>4.3229677394918369</v>
      </c>
      <c r="M304" s="2">
        <f t="shared" si="23"/>
        <v>66.30000000000021</v>
      </c>
      <c r="N304" s="58">
        <f t="shared" si="27"/>
        <v>5.0829562594267994</v>
      </c>
    </row>
    <row r="305" spans="10:14" x14ac:dyDescent="0.2">
      <c r="J305" s="58">
        <f t="shared" si="24"/>
        <v>0.62994678051821318</v>
      </c>
      <c r="K305" s="58">
        <f t="shared" si="25"/>
        <v>1.9175197031422098</v>
      </c>
      <c r="L305" s="58">
        <f t="shared" si="26"/>
        <v>4.3346821188002531</v>
      </c>
      <c r="M305" s="2">
        <f t="shared" ref="M305:M368" si="28">M304+0.1</f>
        <v>66.400000000000205</v>
      </c>
      <c r="N305" s="58">
        <f t="shared" si="27"/>
        <v>5.0602409638553745</v>
      </c>
    </row>
    <row r="306" spans="10:14" x14ac:dyDescent="0.2">
      <c r="J306" s="58">
        <f t="shared" si="24"/>
        <v>0.63422990163482351</v>
      </c>
      <c r="K306" s="58">
        <f t="shared" si="25"/>
        <v>1.9253998642381085</v>
      </c>
      <c r="L306" s="58">
        <f t="shared" si="26"/>
        <v>4.3463988517019185</v>
      </c>
      <c r="M306" s="2">
        <f t="shared" si="28"/>
        <v>66.500000000000199</v>
      </c>
      <c r="N306" s="58">
        <f t="shared" si="27"/>
        <v>5.0375939849623617</v>
      </c>
    </row>
    <row r="307" spans="10:14" x14ac:dyDescent="0.2">
      <c r="J307" s="58">
        <f t="shared" si="24"/>
        <v>0.63852747415751598</v>
      </c>
      <c r="K307" s="58">
        <f t="shared" si="25"/>
        <v>1.9332915375352313</v>
      </c>
      <c r="L307" s="58">
        <f t="shared" si="26"/>
        <v>4.3581179229419043</v>
      </c>
      <c r="M307" s="2">
        <f t="shared" si="28"/>
        <v>66.600000000000193</v>
      </c>
      <c r="N307" s="58">
        <f t="shared" si="27"/>
        <v>5.0150150150149706</v>
      </c>
    </row>
    <row r="308" spans="10:14" x14ac:dyDescent="0.2">
      <c r="J308" s="58">
        <f t="shared" si="24"/>
        <v>0.64283951665281314</v>
      </c>
      <c r="K308" s="58">
        <f t="shared" si="25"/>
        <v>1.9411947186956771</v>
      </c>
      <c r="L308" s="58">
        <f t="shared" si="26"/>
        <v>4.3698393173575276</v>
      </c>
      <c r="M308" s="2">
        <f t="shared" si="28"/>
        <v>66.700000000000188</v>
      </c>
      <c r="N308" s="58">
        <f t="shared" si="27"/>
        <v>4.9925037481258947</v>
      </c>
    </row>
    <row r="309" spans="10:14" x14ac:dyDescent="0.2">
      <c r="J309" s="58">
        <f t="shared" si="24"/>
        <v>0.64716604791730037</v>
      </c>
      <c r="K309" s="58">
        <f t="shared" si="25"/>
        <v>1.9491094034928707</v>
      </c>
      <c r="L309" s="58">
        <f t="shared" si="26"/>
        <v>4.3815630198776701</v>
      </c>
      <c r="M309" s="2">
        <f t="shared" si="28"/>
        <v>66.800000000000182</v>
      </c>
      <c r="N309" s="58">
        <f t="shared" si="27"/>
        <v>4.9700598802394804</v>
      </c>
    </row>
    <row r="310" spans="10:14" x14ac:dyDescent="0.2">
      <c r="J310" s="58">
        <f t="shared" si="24"/>
        <v>0.65150708697764648</v>
      </c>
      <c r="K310" s="58">
        <f t="shared" si="25"/>
        <v>1.9570355878109216</v>
      </c>
      <c r="L310" s="58">
        <f t="shared" si="26"/>
        <v>4.3932890155220932</v>
      </c>
      <c r="M310" s="2">
        <f t="shared" si="28"/>
        <v>66.900000000000176</v>
      </c>
      <c r="N310" s="58">
        <f t="shared" si="27"/>
        <v>4.9476831091180475</v>
      </c>
    </row>
    <row r="311" spans="10:14" x14ac:dyDescent="0.2">
      <c r="J311" s="58">
        <f t="shared" si="24"/>
        <v>0.65586265309064029</v>
      </c>
      <c r="K311" s="58">
        <f t="shared" si="25"/>
        <v>1.9649732676439882</v>
      </c>
      <c r="L311" s="58">
        <f t="shared" si="26"/>
        <v>4.4050172894007513</v>
      </c>
      <c r="M311" s="2">
        <f t="shared" si="28"/>
        <v>67.000000000000171</v>
      </c>
      <c r="N311" s="58">
        <f t="shared" si="27"/>
        <v>4.9253731343283196</v>
      </c>
    </row>
    <row r="312" spans="10:14" x14ac:dyDescent="0.2">
      <c r="J312" s="58">
        <f t="shared" si="24"/>
        <v>0.66023276574323375</v>
      </c>
      <c r="K312" s="58">
        <f t="shared" si="25"/>
        <v>1.9729224390956503</v>
      </c>
      <c r="L312" s="58">
        <f t="shared" si="26"/>
        <v>4.416747826713129</v>
      </c>
      <c r="M312" s="2">
        <f t="shared" si="28"/>
        <v>67.100000000000165</v>
      </c>
      <c r="N312" s="58">
        <f t="shared" si="27"/>
        <v>4.9031296572279821</v>
      </c>
    </row>
    <row r="313" spans="10:14" x14ac:dyDescent="0.2">
      <c r="J313" s="58">
        <f t="shared" si="24"/>
        <v>0.66461744465260097</v>
      </c>
      <c r="K313" s="58">
        <f t="shared" si="25"/>
        <v>1.9808830983782892</v>
      </c>
      <c r="L313" s="58">
        <f t="shared" si="26"/>
        <v>4.4284806127475669</v>
      </c>
      <c r="M313" s="2">
        <f t="shared" si="28"/>
        <v>67.200000000000159</v>
      </c>
      <c r="N313" s="58">
        <f t="shared" si="27"/>
        <v>4.8809523809523458</v>
      </c>
    </row>
    <row r="314" spans="10:14" x14ac:dyDescent="0.2">
      <c r="J314" s="58">
        <f t="shared" si="24"/>
        <v>0.66901670976619965</v>
      </c>
      <c r="K314" s="58">
        <f t="shared" si="25"/>
        <v>1.988855241812473</v>
      </c>
      <c r="L314" s="58">
        <f t="shared" si="26"/>
        <v>4.4402156328806104</v>
      </c>
      <c r="M314" s="2">
        <f t="shared" si="28"/>
        <v>67.300000000000153</v>
      </c>
      <c r="N314" s="58">
        <f t="shared" si="27"/>
        <v>4.8588410104011555</v>
      </c>
    </row>
    <row r="315" spans="10:14" x14ac:dyDescent="0.2">
      <c r="J315" s="58">
        <f t="shared" si="24"/>
        <v>0.67343058126185096</v>
      </c>
      <c r="K315" s="58">
        <f t="shared" si="25"/>
        <v>1.9968388658263436</v>
      </c>
      <c r="L315" s="58">
        <f t="shared" si="26"/>
        <v>4.4519528725763449</v>
      </c>
      <c r="M315" s="2">
        <f t="shared" si="28"/>
        <v>67.400000000000148</v>
      </c>
      <c r="N315" s="58">
        <f t="shared" si="27"/>
        <v>4.8367952522254871</v>
      </c>
    </row>
    <row r="316" spans="10:14" x14ac:dyDescent="0.2">
      <c r="J316" s="58">
        <f t="shared" si="24"/>
        <v>0.67785907954782421</v>
      </c>
      <c r="K316" s="58">
        <f t="shared" si="25"/>
        <v>2.0048339669550179</v>
      </c>
      <c r="L316" s="58">
        <f t="shared" si="26"/>
        <v>4.4636923173857541</v>
      </c>
      <c r="M316" s="2">
        <f t="shared" si="28"/>
        <v>67.500000000000142</v>
      </c>
      <c r="N316" s="58">
        <f t="shared" si="27"/>
        <v>4.8148148148147829</v>
      </c>
    </row>
    <row r="317" spans="10:14" x14ac:dyDescent="0.2">
      <c r="J317" s="58">
        <f t="shared" si="24"/>
        <v>0.68230222526293383</v>
      </c>
      <c r="K317" s="58">
        <f t="shared" si="25"/>
        <v>2.0128405418399868</v>
      </c>
      <c r="L317" s="58">
        <f t="shared" si="26"/>
        <v>4.4754339529460774</v>
      </c>
      <c r="M317" s="2">
        <f t="shared" si="28"/>
        <v>67.600000000000136</v>
      </c>
      <c r="N317" s="58">
        <f t="shared" si="27"/>
        <v>4.7928994082839935</v>
      </c>
    </row>
    <row r="318" spans="10:14" x14ac:dyDescent="0.2">
      <c r="J318" s="58">
        <f t="shared" si="24"/>
        <v>0.68676003927664775</v>
      </c>
      <c r="K318" s="58">
        <f t="shared" si="25"/>
        <v>2.0208585872285232</v>
      </c>
      <c r="L318" s="58">
        <f t="shared" si="26"/>
        <v>4.4871777649801663</v>
      </c>
      <c r="M318" s="2">
        <f t="shared" si="28"/>
        <v>67.700000000000131</v>
      </c>
      <c r="N318" s="58">
        <f t="shared" si="27"/>
        <v>4.7710487444608276</v>
      </c>
    </row>
    <row r="319" spans="10:14" x14ac:dyDescent="0.2">
      <c r="J319" s="58">
        <f t="shared" si="24"/>
        <v>0.69123254268920387</v>
      </c>
      <c r="K319" s="58">
        <f t="shared" si="25"/>
        <v>2.0288880999731012</v>
      </c>
      <c r="L319" s="58">
        <f t="shared" si="26"/>
        <v>4.4989237392958623</v>
      </c>
      <c r="M319" s="2">
        <f t="shared" si="28"/>
        <v>67.800000000000125</v>
      </c>
      <c r="N319" s="58">
        <f t="shared" si="27"/>
        <v>4.7492625368731289</v>
      </c>
    </row>
    <row r="320" spans="10:14" x14ac:dyDescent="0.2">
      <c r="J320" s="58">
        <f t="shared" si="24"/>
        <v>0.69571975683173748</v>
      </c>
      <c r="K320" s="58">
        <f t="shared" si="25"/>
        <v>2.0369290770308082</v>
      </c>
      <c r="L320" s="58">
        <f t="shared" si="26"/>
        <v>4.5106718617853616</v>
      </c>
      <c r="M320" s="2">
        <f t="shared" si="28"/>
        <v>67.900000000000119</v>
      </c>
      <c r="N320" s="58">
        <f t="shared" si="27"/>
        <v>4.7275405007363513</v>
      </c>
    </row>
    <row r="321" spans="10:14" x14ac:dyDescent="0.2">
      <c r="J321" s="58">
        <f t="shared" si="24"/>
        <v>0.70022170326641975</v>
      </c>
      <c r="K321" s="58">
        <f t="shared" si="25"/>
        <v>2.0449815154627768</v>
      </c>
      <c r="L321" s="58">
        <f t="shared" si="26"/>
        <v>4.5224221184246014</v>
      </c>
      <c r="M321" s="2">
        <f t="shared" si="28"/>
        <v>68.000000000000114</v>
      </c>
      <c r="N321" s="58">
        <f t="shared" si="27"/>
        <v>4.7058823529411526</v>
      </c>
    </row>
    <row r="322" spans="10:14" x14ac:dyDescent="0.2">
      <c r="J322" s="58">
        <f t="shared" si="24"/>
        <v>0.70473840378660568</v>
      </c>
      <c r="K322" s="58">
        <f t="shared" si="25"/>
        <v>2.0530454124336117</v>
      </c>
      <c r="L322" s="58">
        <f t="shared" si="26"/>
        <v>4.5341744952726408</v>
      </c>
      <c r="M322" s="2">
        <f t="shared" si="28"/>
        <v>68.100000000000108</v>
      </c>
      <c r="N322" s="58">
        <f t="shared" si="27"/>
        <v>4.6842878120410933</v>
      </c>
    </row>
    <row r="323" spans="10:14" x14ac:dyDescent="0.2">
      <c r="J323" s="58">
        <f t="shared" si="24"/>
        <v>0.70926988041699235</v>
      </c>
      <c r="K323" s="58">
        <f t="shared" si="25"/>
        <v>2.0611207652108279</v>
      </c>
      <c r="L323" s="58">
        <f t="shared" si="26"/>
        <v>4.5459289784710517</v>
      </c>
      <c r="M323" s="2">
        <f t="shared" si="28"/>
        <v>68.200000000000102</v>
      </c>
      <c r="N323" s="58">
        <f t="shared" si="27"/>
        <v>4.6627565982404473</v>
      </c>
    </row>
    <row r="324" spans="10:14" x14ac:dyDescent="0.2">
      <c r="J324" s="58">
        <f t="shared" si="24"/>
        <v>0.71381615541378607</v>
      </c>
      <c r="K324" s="58">
        <f t="shared" si="25"/>
        <v>2.0692075711642923</v>
      </c>
      <c r="L324" s="58">
        <f t="shared" si="26"/>
        <v>4.5576855542433199</v>
      </c>
      <c r="M324" s="2">
        <f t="shared" si="28"/>
        <v>68.300000000000097</v>
      </c>
      <c r="N324" s="58">
        <f t="shared" si="27"/>
        <v>4.6412884333821172</v>
      </c>
    </row>
    <row r="325" spans="10:14" x14ac:dyDescent="0.2">
      <c r="J325" s="58">
        <f t="shared" si="24"/>
        <v>0.71837725126488283</v>
      </c>
      <c r="K325" s="58">
        <f t="shared" si="25"/>
        <v>2.0773058277656724</v>
      </c>
      <c r="L325" s="58">
        <f t="shared" si="26"/>
        <v>4.5694442088942386</v>
      </c>
      <c r="M325" s="2">
        <f t="shared" si="28"/>
        <v>68.400000000000091</v>
      </c>
      <c r="N325" s="58">
        <f t="shared" si="27"/>
        <v>4.6198830409356528</v>
      </c>
    </row>
    <row r="326" spans="10:14" x14ac:dyDescent="0.2">
      <c r="J326" s="58">
        <f t="shared" si="24"/>
        <v>0.72295319069005515</v>
      </c>
      <c r="K326" s="58">
        <f t="shared" si="25"/>
        <v>2.085415532587886</v>
      </c>
      <c r="L326" s="58">
        <f t="shared" si="26"/>
        <v>4.5812049288093188</v>
      </c>
      <c r="M326" s="2">
        <f t="shared" si="28"/>
        <v>68.500000000000085</v>
      </c>
      <c r="N326" s="58">
        <f t="shared" si="27"/>
        <v>4.5985401459853836</v>
      </c>
    </row>
    <row r="327" spans="10:14" x14ac:dyDescent="0.2">
      <c r="J327" s="58">
        <f t="shared" si="24"/>
        <v>0.72754399664115199</v>
      </c>
      <c r="K327" s="58">
        <f t="shared" si="25"/>
        <v>2.0935366833045617</v>
      </c>
      <c r="L327" s="58">
        <f t="shared" si="26"/>
        <v>4.5929677004541993</v>
      </c>
      <c r="M327" s="2">
        <f t="shared" si="28"/>
        <v>68.60000000000008</v>
      </c>
      <c r="N327" s="58">
        <f t="shared" si="27"/>
        <v>4.5772594752186428</v>
      </c>
    </row>
    <row r="328" spans="10:14" x14ac:dyDescent="0.2">
      <c r="J328" s="58">
        <f t="shared" si="24"/>
        <v>0.7321496923023062</v>
      </c>
      <c r="K328" s="58">
        <f t="shared" si="25"/>
        <v>2.1016692776895041</v>
      </c>
      <c r="L328" s="58">
        <f t="shared" si="26"/>
        <v>4.6047325103740668</v>
      </c>
      <c r="M328" s="2">
        <f t="shared" si="28"/>
        <v>68.700000000000074</v>
      </c>
      <c r="N328" s="58">
        <f t="shared" si="27"/>
        <v>4.5560407569141042</v>
      </c>
    </row>
    <row r="329" spans="10:14" x14ac:dyDescent="0.2">
      <c r="J329" s="58">
        <f t="shared" si="24"/>
        <v>0.7367703010901544</v>
      </c>
      <c r="K329" s="58">
        <f t="shared" si="25"/>
        <v>2.109813313616157</v>
      </c>
      <c r="L329" s="58">
        <f t="shared" si="26"/>
        <v>4.6164993451930743</v>
      </c>
      <c r="M329" s="2">
        <f t="shared" si="28"/>
        <v>68.800000000000068</v>
      </c>
      <c r="N329" s="58">
        <f t="shared" si="27"/>
        <v>4.5348837209302175</v>
      </c>
    </row>
    <row r="330" spans="10:14" x14ac:dyDescent="0.2">
      <c r="J330" s="58">
        <f t="shared" si="24"/>
        <v>0.74140584665406484</v>
      </c>
      <c r="K330" s="58">
        <f t="shared" si="25"/>
        <v>2.1179687890570804</v>
      </c>
      <c r="L330" s="58">
        <f t="shared" si="26"/>
        <v>4.6282681916137642</v>
      </c>
      <c r="M330" s="2">
        <f t="shared" si="28"/>
        <v>68.900000000000063</v>
      </c>
      <c r="N330" s="58">
        <f t="shared" si="27"/>
        <v>4.5137880986937464</v>
      </c>
    </row>
    <row r="331" spans="10:14" x14ac:dyDescent="0.2">
      <c r="J331" s="58">
        <f t="shared" si="24"/>
        <v>0.74605635287637728</v>
      </c>
      <c r="K331" s="58">
        <f t="shared" si="25"/>
        <v>2.1261357020834319</v>
      </c>
      <c r="L331" s="58">
        <f t="shared" si="26"/>
        <v>4.6400390364165123</v>
      </c>
      <c r="M331" s="2">
        <f t="shared" si="28"/>
        <v>69.000000000000057</v>
      </c>
      <c r="N331" s="58">
        <f t="shared" si="27"/>
        <v>4.4927536231883938</v>
      </c>
    </row>
    <row r="332" spans="10:14" x14ac:dyDescent="0.2">
      <c r="J332" s="58">
        <f t="shared" si="24"/>
        <v>0.7507218438726504</v>
      </c>
      <c r="K332" s="58">
        <f t="shared" si="25"/>
        <v>2.1343140508644449</v>
      </c>
      <c r="L332" s="58">
        <f t="shared" si="26"/>
        <v>4.6518118664589512</v>
      </c>
      <c r="M332" s="2">
        <f t="shared" si="28"/>
        <v>69.100000000000051</v>
      </c>
      <c r="N332" s="58">
        <f t="shared" si="27"/>
        <v>4.4717800289435488</v>
      </c>
    </row>
    <row r="333" spans="10:14" x14ac:dyDescent="0.2">
      <c r="J333" s="58">
        <f t="shared" si="24"/>
        <v>0.75540234399192097</v>
      </c>
      <c r="K333" s="58">
        <f t="shared" si="25"/>
        <v>2.1425038336669227</v>
      </c>
      <c r="L333" s="58">
        <f t="shared" si="26"/>
        <v>4.6635866686754177</v>
      </c>
      <c r="M333" s="2">
        <f t="shared" si="28"/>
        <v>69.200000000000045</v>
      </c>
      <c r="N333" s="58">
        <f t="shared" si="27"/>
        <v>4.4508670520231117</v>
      </c>
    </row>
    <row r="334" spans="10:14" x14ac:dyDescent="0.2">
      <c r="J334" s="58">
        <f t="shared" si="24"/>
        <v>0.76009787781697413</v>
      </c>
      <c r="K334" s="58">
        <f t="shared" si="25"/>
        <v>2.1507050488547264</v>
      </c>
      <c r="L334" s="58">
        <f t="shared" si="26"/>
        <v>4.6753634300764002</v>
      </c>
      <c r="M334" s="2">
        <f t="shared" si="28"/>
        <v>69.30000000000004</v>
      </c>
      <c r="N334" s="58">
        <f t="shared" si="27"/>
        <v>4.4300144300144222</v>
      </c>
    </row>
    <row r="335" spans="10:14" x14ac:dyDescent="0.2">
      <c r="J335" s="58">
        <f t="shared" si="24"/>
        <v>0.76480847016462028</v>
      </c>
      <c r="K335" s="58">
        <f t="shared" si="25"/>
        <v>2.158917694888284</v>
      </c>
      <c r="L335" s="58">
        <f t="shared" si="26"/>
        <v>4.6871421377479914</v>
      </c>
      <c r="M335" s="2">
        <f t="shared" si="28"/>
        <v>69.400000000000034</v>
      </c>
      <c r="N335" s="58">
        <f t="shared" si="27"/>
        <v>4.4092219020172845</v>
      </c>
    </row>
    <row r="336" spans="10:14" x14ac:dyDescent="0.2">
      <c r="J336" s="58">
        <f t="shared" si="24"/>
        <v>0.76953414608598392</v>
      </c>
      <c r="K336" s="58">
        <f t="shared" si="25"/>
        <v>2.1671417703240823</v>
      </c>
      <c r="L336" s="58">
        <f t="shared" si="26"/>
        <v>4.6989227788513359</v>
      </c>
      <c r="M336" s="2">
        <f t="shared" si="28"/>
        <v>69.500000000000028</v>
      </c>
      <c r="N336" s="58">
        <f t="shared" si="27"/>
        <v>4.3884892086330876</v>
      </c>
    </row>
    <row r="337" spans="10:14" x14ac:dyDescent="0.2">
      <c r="J337" s="58">
        <f t="shared" si="24"/>
        <v>0.77427493086680355</v>
      </c>
      <c r="K337" s="58">
        <f t="shared" si="25"/>
        <v>2.1753772738141817</v>
      </c>
      <c r="L337" s="58">
        <f t="shared" si="26"/>
        <v>4.7107053406221011</v>
      </c>
      <c r="M337" s="2">
        <f t="shared" si="28"/>
        <v>69.600000000000023</v>
      </c>
      <c r="N337" s="58">
        <f t="shared" si="27"/>
        <v>4.367816091954019</v>
      </c>
    </row>
    <row r="338" spans="10:14" x14ac:dyDescent="0.2">
      <c r="J338" s="58">
        <f t="shared" si="24"/>
        <v>0.77903085002773953</v>
      </c>
      <c r="K338" s="58">
        <f t="shared" si="25"/>
        <v>2.183624204105731</v>
      </c>
      <c r="L338" s="58">
        <f t="shared" si="26"/>
        <v>4.722489810369936</v>
      </c>
      <c r="M338" s="2">
        <f t="shared" si="28"/>
        <v>69.700000000000017</v>
      </c>
      <c r="N338" s="58">
        <f t="shared" si="27"/>
        <v>4.3472022955523641</v>
      </c>
    </row>
    <row r="339" spans="10:14" x14ac:dyDescent="0.2">
      <c r="J339" s="58">
        <f t="shared" si="24"/>
        <v>0.78380192932469162</v>
      </c>
      <c r="K339" s="58">
        <f t="shared" si="25"/>
        <v>2.1918825600404799</v>
      </c>
      <c r="L339" s="58">
        <f t="shared" si="26"/>
        <v>4.7342761754779437</v>
      </c>
      <c r="M339" s="2">
        <f t="shared" si="28"/>
        <v>69.800000000000011</v>
      </c>
      <c r="N339" s="58">
        <f t="shared" si="27"/>
        <v>4.3266475644699121</v>
      </c>
    </row>
    <row r="340" spans="10:14" x14ac:dyDescent="0.2">
      <c r="J340" s="58">
        <f t="shared" si="24"/>
        <v>0.78858819474912922</v>
      </c>
      <c r="K340" s="58">
        <f t="shared" si="25"/>
        <v>2.2001523405543058</v>
      </c>
      <c r="L340" s="58">
        <f t="shared" si="26"/>
        <v>4.7460644234021538</v>
      </c>
      <c r="M340" s="2">
        <f t="shared" si="28"/>
        <v>69.900000000000006</v>
      </c>
      <c r="N340" s="58">
        <f t="shared" si="27"/>
        <v>4.3061516452074375</v>
      </c>
    </row>
    <row r="341" spans="10:14" x14ac:dyDescent="0.2">
      <c r="J341" s="58">
        <f t="shared" si="24"/>
        <v>0.79338967252842851</v>
      </c>
      <c r="K341" s="58">
        <f t="shared" si="25"/>
        <v>2.2084335446767387</v>
      </c>
      <c r="L341" s="58">
        <f t="shared" si="26"/>
        <v>4.7578545416710014</v>
      </c>
      <c r="M341" s="2">
        <f t="shared" si="28"/>
        <v>70</v>
      </c>
      <c r="N341" s="58">
        <f t="shared" si="27"/>
        <v>4.2857142857142865</v>
      </c>
    </row>
    <row r="342" spans="10:14" x14ac:dyDescent="0.2">
      <c r="J342" s="58">
        <f t="shared" si="24"/>
        <v>0.79820638912622144</v>
      </c>
      <c r="K342" s="58">
        <f t="shared" si="25"/>
        <v>2.2167261715304982</v>
      </c>
      <c r="L342" s="58">
        <f t="shared" si="26"/>
        <v>4.7696465178848175</v>
      </c>
      <c r="M342" s="2">
        <f t="shared" si="28"/>
        <v>70.099999999999994</v>
      </c>
      <c r="N342" s="58">
        <f t="shared" si="27"/>
        <v>4.2653352353780321</v>
      </c>
    </row>
    <row r="343" spans="10:14" x14ac:dyDescent="0.2">
      <c r="J343" s="58">
        <f t="shared" si="24"/>
        <v>0.80303837124275235</v>
      </c>
      <c r="K343" s="58">
        <f t="shared" si="25"/>
        <v>2.225030220331023</v>
      </c>
      <c r="L343" s="58">
        <f t="shared" si="26"/>
        <v>4.7814403397153047</v>
      </c>
      <c r="M343" s="2">
        <f t="shared" si="28"/>
        <v>70.199999999999989</v>
      </c>
      <c r="N343" s="58">
        <f t="shared" si="27"/>
        <v>4.2450142450142465</v>
      </c>
    </row>
    <row r="344" spans="10:14" x14ac:dyDescent="0.2">
      <c r="J344" s="58">
        <f t="shared" si="24"/>
        <v>0.80788564581524891</v>
      </c>
      <c r="K344" s="58">
        <f t="shared" si="25"/>
        <v>2.2333456903860145</v>
      </c>
      <c r="L344" s="58">
        <f t="shared" si="26"/>
        <v>4.7932359949050394</v>
      </c>
      <c r="M344" s="2">
        <f t="shared" si="28"/>
        <v>70.299999999999983</v>
      </c>
      <c r="N344" s="58">
        <f t="shared" si="27"/>
        <v>4.2247510668563333</v>
      </c>
    </row>
    <row r="345" spans="10:14" x14ac:dyDescent="0.2">
      <c r="J345" s="58">
        <f t="shared" ref="J345:J408" si="29">IF(B$5&gt;0.2*($N345),(B$5-0.2*($N345))^2/(B$5+0.8*($N345)),0)</f>
        <v>0.81274824001829771</v>
      </c>
      <c r="K345" s="58">
        <f t="shared" ref="K345:K408" si="30">IF(C$5&gt;0.2*($N345),(C$5-0.2*($N345))^2/(C$5+0.8*($N345)),0)</f>
        <v>2.2416725810949854</v>
      </c>
      <c r="L345" s="58">
        <f t="shared" ref="L345:L408" si="31">IF(D$5&gt;0.2*($N345),(D$5-0.2*($N345))^2/(D$5+0.8*($N345)),0)</f>
        <v>4.8050334712669622</v>
      </c>
      <c r="M345" s="2">
        <f t="shared" si="28"/>
        <v>70.399999999999977</v>
      </c>
      <c r="N345" s="58">
        <f t="shared" si="27"/>
        <v>4.2045454545454586</v>
      </c>
    </row>
    <row r="346" spans="10:14" x14ac:dyDescent="0.2">
      <c r="J346" s="58">
        <f t="shared" si="29"/>
        <v>0.81762618126423237</v>
      </c>
      <c r="K346" s="58">
        <f t="shared" si="30"/>
        <v>2.2500108919488042</v>
      </c>
      <c r="L346" s="58">
        <f t="shared" si="31"/>
        <v>4.8168327566838833</v>
      </c>
      <c r="M346" s="2">
        <f t="shared" si="28"/>
        <v>70.499999999999972</v>
      </c>
      <c r="N346" s="58">
        <f t="shared" si="27"/>
        <v>4.1843971631205736</v>
      </c>
    </row>
    <row r="347" spans="10:14" x14ac:dyDescent="0.2">
      <c r="J347" s="58">
        <f t="shared" si="29"/>
        <v>0.82251949720353323</v>
      </c>
      <c r="K347" s="58">
        <f t="shared" si="30"/>
        <v>2.2583606225292558</v>
      </c>
      <c r="L347" s="58">
        <f t="shared" si="31"/>
        <v>4.8286338391079857</v>
      </c>
      <c r="M347" s="2">
        <f t="shared" si="28"/>
        <v>70.599999999999966</v>
      </c>
      <c r="N347" s="58">
        <f t="shared" si="27"/>
        <v>4.1643059490085061</v>
      </c>
    </row>
    <row r="348" spans="10:14" x14ac:dyDescent="0.2">
      <c r="J348" s="58">
        <f t="shared" si="29"/>
        <v>0.82742821572523273</v>
      </c>
      <c r="K348" s="58">
        <f t="shared" si="30"/>
        <v>2.2667217725085926</v>
      </c>
      <c r="L348" s="58">
        <f t="shared" si="31"/>
        <v>4.8404367065603306</v>
      </c>
      <c r="M348" s="2">
        <f t="shared" si="28"/>
        <v>70.69999999999996</v>
      </c>
      <c r="N348" s="58">
        <f t="shared" si="27"/>
        <v>4.144271570014153</v>
      </c>
    </row>
    <row r="349" spans="10:14" x14ac:dyDescent="0.2">
      <c r="J349" s="58">
        <f t="shared" si="29"/>
        <v>0.83235236495733456</v>
      </c>
      <c r="K349" s="58">
        <f t="shared" si="30"/>
        <v>2.2750943416491034</v>
      </c>
      <c r="L349" s="58">
        <f t="shared" si="31"/>
        <v>4.852241347130378</v>
      </c>
      <c r="M349" s="2">
        <f t="shared" si="28"/>
        <v>70.799999999999955</v>
      </c>
      <c r="N349" s="58">
        <f t="shared" si="27"/>
        <v>4.1242937853107442</v>
      </c>
    </row>
    <row r="350" spans="10:14" x14ac:dyDescent="0.2">
      <c r="J350" s="58">
        <f t="shared" si="29"/>
        <v>0.83729197326724025</v>
      </c>
      <c r="K350" s="58">
        <f t="shared" si="30"/>
        <v>2.2834783298026782</v>
      </c>
      <c r="L350" s="58">
        <f t="shared" si="31"/>
        <v>4.8640477489754996</v>
      </c>
      <c r="M350" s="2">
        <f t="shared" si="28"/>
        <v>70.899999999999949</v>
      </c>
      <c r="N350" s="58">
        <f t="shared" si="27"/>
        <v>4.1043723554301934</v>
      </c>
    </row>
    <row r="351" spans="10:14" x14ac:dyDescent="0.2">
      <c r="J351" s="58">
        <f t="shared" si="29"/>
        <v>0.84224706926218729</v>
      </c>
      <c r="K351" s="58">
        <f t="shared" si="30"/>
        <v>2.291873736910377</v>
      </c>
      <c r="L351" s="58">
        <f t="shared" si="31"/>
        <v>4.8758559003204969</v>
      </c>
      <c r="M351" s="2">
        <f t="shared" si="28"/>
        <v>70.999999999999943</v>
      </c>
      <c r="N351" s="58">
        <f t="shared" si="27"/>
        <v>4.0845070422535326</v>
      </c>
    </row>
    <row r="352" spans="10:14" x14ac:dyDescent="0.2">
      <c r="J352" s="58">
        <f t="shared" si="29"/>
        <v>0.8472176817896967</v>
      </c>
      <c r="K352" s="58">
        <f t="shared" si="30"/>
        <v>2.3002805630020129</v>
      </c>
      <c r="L352" s="58">
        <f t="shared" si="31"/>
        <v>4.8876657894571407</v>
      </c>
      <c r="M352" s="2">
        <f t="shared" si="28"/>
        <v>71.099999999999937</v>
      </c>
      <c r="N352" s="58">
        <f t="shared" si="27"/>
        <v>4.0646976090014189</v>
      </c>
    </row>
    <row r="353" spans="10:14" x14ac:dyDescent="0.2">
      <c r="J353" s="58">
        <f t="shared" si="29"/>
        <v>0.85220383993802906</v>
      </c>
      <c r="K353" s="58">
        <f t="shared" si="30"/>
        <v>2.3086988081957234</v>
      </c>
      <c r="L353" s="58">
        <f t="shared" si="31"/>
        <v>4.8994774047436831</v>
      </c>
      <c r="M353" s="2">
        <f t="shared" si="28"/>
        <v>71.199999999999932</v>
      </c>
      <c r="N353" s="58">
        <f t="shared" si="27"/>
        <v>4.0449438202247325</v>
      </c>
    </row>
    <row r="354" spans="10:14" x14ac:dyDescent="0.2">
      <c r="J354" s="58">
        <f t="shared" si="29"/>
        <v>0.85720557303665312</v>
      </c>
      <c r="K354" s="58">
        <f t="shared" si="30"/>
        <v>2.3171284726975574</v>
      </c>
      <c r="L354" s="58">
        <f t="shared" si="31"/>
        <v>4.9112907346044024</v>
      </c>
      <c r="M354" s="2">
        <f t="shared" si="28"/>
        <v>71.299999999999926</v>
      </c>
      <c r="N354" s="58">
        <f t="shared" si="27"/>
        <v>4.0252454417952457</v>
      </c>
    </row>
    <row r="355" spans="10:14" x14ac:dyDescent="0.2">
      <c r="J355" s="58">
        <f t="shared" si="29"/>
        <v>0.86222291065672207</v>
      </c>
      <c r="K355" s="58">
        <f t="shared" si="30"/>
        <v>2.3255695568010637</v>
      </c>
      <c r="L355" s="58">
        <f t="shared" si="31"/>
        <v>4.9231057675291359</v>
      </c>
      <c r="M355" s="2">
        <f t="shared" si="28"/>
        <v>71.39999999999992</v>
      </c>
      <c r="N355" s="58">
        <f t="shared" si="27"/>
        <v>4.0056022408963745</v>
      </c>
    </row>
    <row r="356" spans="10:14" x14ac:dyDescent="0.2">
      <c r="J356" s="58">
        <f t="shared" si="29"/>
        <v>0.86725588261156095</v>
      </c>
      <c r="K356" s="58">
        <f t="shared" si="30"/>
        <v>2.334022060886884</v>
      </c>
      <c r="L356" s="58">
        <f t="shared" si="31"/>
        <v>4.9349224920728263</v>
      </c>
      <c r="M356" s="2">
        <f t="shared" si="28"/>
        <v>71.499999999999915</v>
      </c>
      <c r="N356" s="58">
        <f t="shared" si="27"/>
        <v>3.9860139860140027</v>
      </c>
    </row>
    <row r="357" spans="10:14" x14ac:dyDescent="0.2">
      <c r="J357" s="58">
        <f t="shared" si="29"/>
        <v>0.87230451895716354</v>
      </c>
      <c r="K357" s="58">
        <f t="shared" si="30"/>
        <v>2.3424859854223437</v>
      </c>
      <c r="L357" s="58">
        <f t="shared" si="31"/>
        <v>4.9467408968550579</v>
      </c>
      <c r="M357" s="2">
        <f t="shared" si="28"/>
        <v>71.599999999999909</v>
      </c>
      <c r="N357" s="58">
        <f t="shared" si="27"/>
        <v>3.9664804469273918</v>
      </c>
    </row>
    <row r="358" spans="10:14" x14ac:dyDescent="0.2">
      <c r="J358" s="58">
        <f t="shared" si="29"/>
        <v>0.87736884999269882</v>
      </c>
      <c r="K358" s="58">
        <f t="shared" si="30"/>
        <v>2.3509613309610566</v>
      </c>
      <c r="L358" s="58">
        <f t="shared" si="31"/>
        <v>4.9585609705596179</v>
      </c>
      <c r="M358" s="2">
        <f t="shared" si="28"/>
        <v>71.699999999999903</v>
      </c>
      <c r="N358" s="58">
        <f t="shared" si="27"/>
        <v>3.947001394700159</v>
      </c>
    </row>
    <row r="359" spans="10:14" x14ac:dyDescent="0.2">
      <c r="J359" s="58">
        <f t="shared" si="29"/>
        <v>0.88244890626102956</v>
      </c>
      <c r="K359" s="58">
        <f t="shared" si="30"/>
        <v>2.3594480981425274</v>
      </c>
      <c r="L359" s="58">
        <f t="shared" si="31"/>
        <v>4.9703827019340352</v>
      </c>
      <c r="M359" s="2">
        <f t="shared" si="28"/>
        <v>71.799999999999898</v>
      </c>
      <c r="N359" s="58">
        <f t="shared" si="27"/>
        <v>3.9275766016713298</v>
      </c>
    </row>
    <row r="360" spans="10:14" x14ac:dyDescent="0.2">
      <c r="J360" s="58">
        <f t="shared" si="29"/>
        <v>0.88754471854923722</v>
      </c>
      <c r="K360" s="58">
        <f t="shared" si="30"/>
        <v>2.3679462876917579</v>
      </c>
      <c r="L360" s="58">
        <f t="shared" si="31"/>
        <v>4.9822060797891519</v>
      </c>
      <c r="M360" s="2">
        <f t="shared" si="28"/>
        <v>71.899999999999892</v>
      </c>
      <c r="N360" s="58">
        <f t="shared" si="27"/>
        <v>3.908205841446474</v>
      </c>
    </row>
    <row r="361" spans="10:14" x14ac:dyDescent="0.2">
      <c r="J361" s="58">
        <f t="shared" si="29"/>
        <v>0.89265631788915967</v>
      </c>
      <c r="K361" s="58">
        <f t="shared" si="30"/>
        <v>2.376455900418859</v>
      </c>
      <c r="L361" s="58">
        <f t="shared" si="31"/>
        <v>4.9940310929986707</v>
      </c>
      <c r="M361" s="2">
        <f t="shared" si="28"/>
        <v>71.999999999999886</v>
      </c>
      <c r="N361" s="58">
        <f t="shared" ref="N361:N424" si="32">IF(M361&gt;0,1000/M361-10,1000)</f>
        <v>3.8888888888889106</v>
      </c>
    </row>
    <row r="362" spans="10:14" x14ac:dyDescent="0.2">
      <c r="J362" s="58">
        <f t="shared" si="29"/>
        <v>0.897783735557938</v>
      </c>
      <c r="K362" s="58">
        <f t="shared" si="30"/>
        <v>2.3849769372186667</v>
      </c>
      <c r="L362" s="58">
        <f t="shared" si="31"/>
        <v>5.0058577304987271</v>
      </c>
      <c r="M362" s="2">
        <f t="shared" si="28"/>
        <v>72.099999999999881</v>
      </c>
      <c r="N362" s="58">
        <f t="shared" si="32"/>
        <v>3.8696255201109793</v>
      </c>
    </row>
    <row r="363" spans="10:14" x14ac:dyDescent="0.2">
      <c r="J363" s="58">
        <f t="shared" si="29"/>
        <v>0.90292700307857354</v>
      </c>
      <c r="K363" s="58">
        <f t="shared" si="30"/>
        <v>2.3935093990703575</v>
      </c>
      <c r="L363" s="58">
        <f t="shared" si="31"/>
        <v>5.0176859812874479</v>
      </c>
      <c r="M363" s="2">
        <f t="shared" si="28"/>
        <v>72.199999999999875</v>
      </c>
      <c r="N363" s="58">
        <f t="shared" si="32"/>
        <v>3.850415512465398</v>
      </c>
    </row>
    <row r="364" spans="10:14" x14ac:dyDescent="0.2">
      <c r="J364" s="58">
        <f t="shared" si="29"/>
        <v>0.90808615222049516</v>
      </c>
      <c r="K364" s="58">
        <f t="shared" si="30"/>
        <v>2.4020532870370772</v>
      </c>
      <c r="L364" s="58">
        <f t="shared" si="31"/>
        <v>5.0295158344245356</v>
      </c>
      <c r="M364" s="2">
        <f t="shared" si="28"/>
        <v>72.299999999999869</v>
      </c>
      <c r="N364" s="58">
        <f t="shared" si="32"/>
        <v>3.8312586445366783</v>
      </c>
    </row>
    <row r="365" spans="10:14" x14ac:dyDescent="0.2">
      <c r="J365" s="58">
        <f t="shared" si="29"/>
        <v>0.91326121500013524</v>
      </c>
      <c r="K365" s="58">
        <f t="shared" si="30"/>
        <v>2.4106086022655644</v>
      </c>
      <c r="L365" s="58">
        <f t="shared" si="31"/>
        <v>5.041347279030834</v>
      </c>
      <c r="M365" s="2">
        <f t="shared" si="28"/>
        <v>72.399999999999864</v>
      </c>
      <c r="N365" s="58">
        <f t="shared" si="32"/>
        <v>3.8121546961326231</v>
      </c>
    </row>
    <row r="366" spans="10:14" x14ac:dyDescent="0.2">
      <c r="J366" s="58">
        <f t="shared" si="29"/>
        <v>0.91845222368151702</v>
      </c>
      <c r="K366" s="58">
        <f t="shared" si="30"/>
        <v>2.4191753459857761</v>
      </c>
      <c r="L366" s="58">
        <f t="shared" si="31"/>
        <v>5.0531803042879044</v>
      </c>
      <c r="M366" s="2">
        <f t="shared" si="28"/>
        <v>72.499999999999858</v>
      </c>
      <c r="N366" s="58">
        <f t="shared" si="32"/>
        <v>3.7931034482758896</v>
      </c>
    </row>
    <row r="367" spans="10:14" x14ac:dyDescent="0.2">
      <c r="J367" s="58">
        <f t="shared" si="29"/>
        <v>0.92365921077685198</v>
      </c>
      <c r="K367" s="58">
        <f t="shared" si="30"/>
        <v>2.427753519510528</v>
      </c>
      <c r="L367" s="58">
        <f t="shared" si="31"/>
        <v>5.0650148994376138</v>
      </c>
      <c r="M367" s="2">
        <f t="shared" si="28"/>
        <v>72.599999999999852</v>
      </c>
      <c r="N367" s="58">
        <f t="shared" si="32"/>
        <v>3.7741046831956204</v>
      </c>
    </row>
    <row r="368" spans="10:14" x14ac:dyDescent="0.2">
      <c r="J368" s="58">
        <f t="shared" si="29"/>
        <v>0.92888220904714636</v>
      </c>
      <c r="K368" s="58">
        <f t="shared" si="30"/>
        <v>2.4363431242351292</v>
      </c>
      <c r="L368" s="58">
        <f t="shared" si="31"/>
        <v>5.0768510537817173</v>
      </c>
      <c r="M368" s="2">
        <f t="shared" si="28"/>
        <v>72.699999999999847</v>
      </c>
      <c r="N368" s="58">
        <f t="shared" si="32"/>
        <v>3.7551581843191482</v>
      </c>
    </row>
    <row r="369" spans="10:14" x14ac:dyDescent="0.2">
      <c r="J369" s="58">
        <f t="shared" si="29"/>
        <v>0.93412125150281911</v>
      </c>
      <c r="K369" s="58">
        <f t="shared" si="30"/>
        <v>2.4449441616370207</v>
      </c>
      <c r="L369" s="58">
        <f t="shared" si="31"/>
        <v>5.0886887566814432</v>
      </c>
      <c r="M369" s="2">
        <f t="shared" ref="M369:M432" si="33">M368+0.1</f>
        <v>72.799999999999841</v>
      </c>
      <c r="N369" s="58">
        <f t="shared" si="32"/>
        <v>3.7362637362637656</v>
      </c>
    </row>
    <row r="370" spans="10:14" x14ac:dyDescent="0.2">
      <c r="J370" s="58">
        <f t="shared" si="29"/>
        <v>0.93937637140432795</v>
      </c>
      <c r="K370" s="58">
        <f t="shared" si="30"/>
        <v>2.4535566332754244</v>
      </c>
      <c r="L370" s="58">
        <f t="shared" si="31"/>
        <v>5.1005279975570943</v>
      </c>
      <c r="M370" s="2">
        <f t="shared" si="33"/>
        <v>72.899999999999835</v>
      </c>
      <c r="N370" s="58">
        <f t="shared" si="32"/>
        <v>3.7174211248285634</v>
      </c>
    </row>
    <row r="371" spans="10:14" x14ac:dyDescent="0.2">
      <c r="J371" s="58">
        <f t="shared" si="29"/>
        <v>0.94464760226280953</v>
      </c>
      <c r="K371" s="58">
        <f t="shared" si="30"/>
        <v>2.4621805407909854</v>
      </c>
      <c r="L371" s="58">
        <f t="shared" si="31"/>
        <v>5.1123687658876298</v>
      </c>
      <c r="M371" s="2">
        <f t="shared" si="33"/>
        <v>72.999999999999829</v>
      </c>
      <c r="N371" s="58">
        <f t="shared" si="32"/>
        <v>3.698630136986333</v>
      </c>
    </row>
    <row r="372" spans="10:14" x14ac:dyDescent="0.2">
      <c r="J372" s="58">
        <f t="shared" si="29"/>
        <v>0.94993497784072389</v>
      </c>
      <c r="K372" s="58">
        <f t="shared" si="30"/>
        <v>2.4708158859054308</v>
      </c>
      <c r="L372" s="58">
        <f t="shared" si="31"/>
        <v>5.1242110512102785</v>
      </c>
      <c r="M372" s="2">
        <f t="shared" si="33"/>
        <v>73.099999999999824</v>
      </c>
      <c r="N372" s="58">
        <f t="shared" si="32"/>
        <v>3.6798905608755454</v>
      </c>
    </row>
    <row r="373" spans="10:14" x14ac:dyDescent="0.2">
      <c r="J373" s="58">
        <f t="shared" si="29"/>
        <v>0.9552385321525132</v>
      </c>
      <c r="K373" s="58">
        <f t="shared" si="30"/>
        <v>2.4794626704212153</v>
      </c>
      <c r="L373" s="58">
        <f t="shared" si="31"/>
        <v>5.1360548431201289</v>
      </c>
      <c r="M373" s="2">
        <f t="shared" si="33"/>
        <v>73.199999999999818</v>
      </c>
      <c r="N373" s="58">
        <f t="shared" si="32"/>
        <v>3.6612021857923835</v>
      </c>
    </row>
    <row r="374" spans="10:14" x14ac:dyDescent="0.2">
      <c r="J374" s="58">
        <f t="shared" si="29"/>
        <v>0.96055829946527183</v>
      </c>
      <c r="K374" s="58">
        <f t="shared" si="30"/>
        <v>2.4881208962211865</v>
      </c>
      <c r="L374" s="58">
        <f t="shared" si="31"/>
        <v>5.1479001312697372</v>
      </c>
      <c r="M374" s="2">
        <f t="shared" si="33"/>
        <v>73.299999999999812</v>
      </c>
      <c r="N374" s="58">
        <f t="shared" si="32"/>
        <v>3.6425648021828447</v>
      </c>
    </row>
    <row r="375" spans="10:14" x14ac:dyDescent="0.2">
      <c r="J375" s="58">
        <f t="shared" si="29"/>
        <v>0.96589431429942219</v>
      </c>
      <c r="K375" s="58">
        <f t="shared" si="30"/>
        <v>2.4967905652682423</v>
      </c>
      <c r="L375" s="58">
        <f t="shared" si="31"/>
        <v>5.1597469053687428</v>
      </c>
      <c r="M375" s="2">
        <f t="shared" si="33"/>
        <v>73.399999999999807</v>
      </c>
      <c r="N375" s="58">
        <f t="shared" si="32"/>
        <v>3.6239782016349125</v>
      </c>
    </row>
    <row r="376" spans="10:14" x14ac:dyDescent="0.2">
      <c r="J376" s="58">
        <f t="shared" si="29"/>
        <v>0.97124661142940261</v>
      </c>
      <c r="K376" s="58">
        <f t="shared" si="30"/>
        <v>2.5054716796049994</v>
      </c>
      <c r="L376" s="58">
        <f t="shared" si="31"/>
        <v>5.1715951551834687</v>
      </c>
      <c r="M376" s="2">
        <f t="shared" si="33"/>
        <v>73.499999999999801</v>
      </c>
      <c r="N376" s="58">
        <f t="shared" si="32"/>
        <v>3.6054421768707847</v>
      </c>
    </row>
    <row r="377" spans="10:14" x14ac:dyDescent="0.2">
      <c r="J377" s="58">
        <f t="shared" si="29"/>
        <v>0.97661522588436978</v>
      </c>
      <c r="K377" s="58">
        <f t="shared" si="30"/>
        <v>2.5141642413534595</v>
      </c>
      <c r="L377" s="58">
        <f t="shared" si="31"/>
        <v>5.1834448705365483</v>
      </c>
      <c r="M377" s="2">
        <f t="shared" si="33"/>
        <v>73.599999999999795</v>
      </c>
      <c r="N377" s="58">
        <f t="shared" si="32"/>
        <v>3.5869565217391681</v>
      </c>
    </row>
    <row r="378" spans="10:14" x14ac:dyDescent="0.2">
      <c r="J378" s="58">
        <f t="shared" si="29"/>
        <v>0.98200019294890384</v>
      </c>
      <c r="K378" s="58">
        <f t="shared" si="30"/>
        <v>2.5228682527146766</v>
      </c>
      <c r="L378" s="58">
        <f t="shared" si="31"/>
        <v>5.1952960413065297</v>
      </c>
      <c r="M378" s="2">
        <f t="shared" si="33"/>
        <v>73.69999999999979</v>
      </c>
      <c r="N378" s="58">
        <f t="shared" si="32"/>
        <v>3.5685210312076379</v>
      </c>
    </row>
    <row r="379" spans="10:14" x14ac:dyDescent="0.2">
      <c r="J379" s="58">
        <f t="shared" si="29"/>
        <v>0.98740154816373027</v>
      </c>
      <c r="K379" s="58">
        <f t="shared" si="30"/>
        <v>2.5315837159684436</v>
      </c>
      <c r="L379" s="58">
        <f t="shared" si="31"/>
        <v>5.2071486574275117</v>
      </c>
      <c r="M379" s="2">
        <f t="shared" si="33"/>
        <v>73.799999999999784</v>
      </c>
      <c r="N379" s="58">
        <f t="shared" si="32"/>
        <v>3.5501355013550526</v>
      </c>
    </row>
    <row r="380" spans="10:14" x14ac:dyDescent="0.2">
      <c r="J380" s="58">
        <f t="shared" si="29"/>
        <v>0.99281932732644707</v>
      </c>
      <c r="K380" s="58">
        <f t="shared" si="30"/>
        <v>2.5403106334729531</v>
      </c>
      <c r="L380" s="58">
        <f t="shared" si="31"/>
        <v>5.2190027088887492</v>
      </c>
      <c r="M380" s="2">
        <f t="shared" si="33"/>
        <v>73.899999999999778</v>
      </c>
      <c r="N380" s="58">
        <f t="shared" si="32"/>
        <v>3.531799729364046</v>
      </c>
    </row>
    <row r="381" spans="10:14" x14ac:dyDescent="0.2">
      <c r="J381" s="58">
        <f t="shared" si="29"/>
        <v>0.99825356649226782</v>
      </c>
      <c r="K381" s="58">
        <f t="shared" si="30"/>
        <v>2.5490490076644972</v>
      </c>
      <c r="L381" s="58">
        <f t="shared" si="31"/>
        <v>5.2308581857343048</v>
      </c>
      <c r="M381" s="2">
        <f t="shared" si="33"/>
        <v>73.999999999999773</v>
      </c>
      <c r="N381" s="58">
        <f t="shared" si="32"/>
        <v>3.5135135135135549</v>
      </c>
    </row>
    <row r="382" spans="10:14" x14ac:dyDescent="0.2">
      <c r="J382" s="58">
        <f t="shared" si="29"/>
        <v>1.00370430197477</v>
      </c>
      <c r="K382" s="58">
        <f t="shared" si="30"/>
        <v>2.5577988410571346</v>
      </c>
      <c r="L382" s="58">
        <f t="shared" si="31"/>
        <v>5.2427150780626528</v>
      </c>
      <c r="M382" s="2">
        <f t="shared" si="33"/>
        <v>74.099999999999767</v>
      </c>
      <c r="N382" s="58">
        <f t="shared" si="32"/>
        <v>3.4952766531714321</v>
      </c>
    </row>
    <row r="383" spans="10:14" x14ac:dyDescent="0.2">
      <c r="J383" s="58">
        <f t="shared" si="29"/>
        <v>1.0091715703466564</v>
      </c>
      <c r="K383" s="58">
        <f t="shared" si="30"/>
        <v>2.5665601362423924</v>
      </c>
      <c r="L383" s="58">
        <f t="shared" si="31"/>
        <v>5.2545733760263325</v>
      </c>
      <c r="M383" s="2">
        <f t="shared" si="33"/>
        <v>74.199999999999761</v>
      </c>
      <c r="N383" s="58">
        <f t="shared" si="32"/>
        <v>3.4770889487871059</v>
      </c>
    </row>
    <row r="384" spans="10:14" x14ac:dyDescent="0.2">
      <c r="J384" s="58">
        <f t="shared" si="29"/>
        <v>1.014655408440527</v>
      </c>
      <c r="K384" s="58">
        <f t="shared" si="30"/>
        <v>2.575332895888947</v>
      </c>
      <c r="L384" s="58">
        <f t="shared" si="31"/>
        <v>5.2664330698315771</v>
      </c>
      <c r="M384" s="2">
        <f t="shared" si="33"/>
        <v>74.299999999999756</v>
      </c>
      <c r="N384" s="58">
        <f t="shared" si="32"/>
        <v>3.4589502018842975</v>
      </c>
    </row>
    <row r="385" spans="10:14" x14ac:dyDescent="0.2">
      <c r="J385" s="58">
        <f t="shared" si="29"/>
        <v>1.02015585334966</v>
      </c>
      <c r="K385" s="58">
        <f t="shared" si="30"/>
        <v>2.5841171227423212</v>
      </c>
      <c r="L385" s="58">
        <f t="shared" si="31"/>
        <v>5.2782941497379436</v>
      </c>
      <c r="M385" s="2">
        <f t="shared" si="33"/>
        <v>74.39999999999975</v>
      </c>
      <c r="N385" s="58">
        <f t="shared" si="32"/>
        <v>3.4408602150538083</v>
      </c>
    </row>
    <row r="386" spans="10:14" x14ac:dyDescent="0.2">
      <c r="J386" s="58">
        <f t="shared" si="29"/>
        <v>1.0256729424288038</v>
      </c>
      <c r="K386" s="58">
        <f t="shared" si="30"/>
        <v>2.5929128196245825</v>
      </c>
      <c r="L386" s="58">
        <f t="shared" si="31"/>
        <v>5.2901566060579723</v>
      </c>
      <c r="M386" s="2">
        <f t="shared" si="33"/>
        <v>74.499999999999744</v>
      </c>
      <c r="N386" s="58">
        <f t="shared" si="32"/>
        <v>3.4228187919463551</v>
      </c>
    </row>
    <row r="387" spans="10:14" x14ac:dyDescent="0.2">
      <c r="J387" s="58">
        <f t="shared" si="29"/>
        <v>1.0312067132949825</v>
      </c>
      <c r="K387" s="58">
        <f t="shared" si="30"/>
        <v>2.601719989434041</v>
      </c>
      <c r="L387" s="58">
        <f t="shared" si="31"/>
        <v>5.3020204291568227</v>
      </c>
      <c r="M387" s="2">
        <f t="shared" si="33"/>
        <v>74.599999999999739</v>
      </c>
      <c r="N387" s="58">
        <f t="shared" si="32"/>
        <v>3.4048257372654618</v>
      </c>
    </row>
    <row r="388" spans="10:14" x14ac:dyDescent="0.2">
      <c r="J388" s="58">
        <f t="shared" si="29"/>
        <v>1.0367572038283051</v>
      </c>
      <c r="K388" s="58">
        <f t="shared" si="30"/>
        <v>2.6105386351449487</v>
      </c>
      <c r="L388" s="58">
        <f t="shared" si="31"/>
        <v>5.313885609451912</v>
      </c>
      <c r="M388" s="2">
        <f t="shared" si="33"/>
        <v>74.699999999999733</v>
      </c>
      <c r="N388" s="58">
        <f t="shared" si="32"/>
        <v>3.3868808567604223</v>
      </c>
    </row>
    <row r="389" spans="10:14" x14ac:dyDescent="0.2">
      <c r="J389" s="58">
        <f t="shared" si="29"/>
        <v>1.0423244521727932</v>
      </c>
      <c r="K389" s="58">
        <f t="shared" si="30"/>
        <v>2.6193687598072142</v>
      </c>
      <c r="L389" s="58">
        <f t="shared" si="31"/>
        <v>5.3257521374125822</v>
      </c>
      <c r="M389" s="2">
        <f t="shared" si="33"/>
        <v>74.799999999999727</v>
      </c>
      <c r="N389" s="58">
        <f t="shared" si="32"/>
        <v>3.3689839572192994</v>
      </c>
    </row>
    <row r="390" spans="10:14" x14ac:dyDescent="0.2">
      <c r="J390" s="58">
        <f t="shared" si="29"/>
        <v>1.0479084967372141</v>
      </c>
      <c r="K390" s="58">
        <f t="shared" si="30"/>
        <v>2.6282103665461043</v>
      </c>
      <c r="L390" s="58">
        <f t="shared" si="31"/>
        <v>5.3376200035597483</v>
      </c>
      <c r="M390" s="2">
        <f t="shared" si="33"/>
        <v>74.899999999999721</v>
      </c>
      <c r="N390" s="58">
        <f t="shared" si="32"/>
        <v>3.3511348464619992</v>
      </c>
    </row>
    <row r="391" spans="10:14" x14ac:dyDescent="0.2">
      <c r="J391" s="58">
        <f t="shared" si="29"/>
        <v>1.0535093761959275</v>
      </c>
      <c r="K391" s="58">
        <f t="shared" si="30"/>
        <v>2.6370634585619563</v>
      </c>
      <c r="L391" s="58">
        <f t="shared" si="31"/>
        <v>5.3494891984655428</v>
      </c>
      <c r="M391" s="2">
        <f t="shared" si="33"/>
        <v>74.999999999999716</v>
      </c>
      <c r="N391" s="58">
        <f t="shared" si="32"/>
        <v>3.3333333333333837</v>
      </c>
    </row>
    <row r="392" spans="10:14" x14ac:dyDescent="0.2">
      <c r="J392" s="58">
        <f t="shared" si="29"/>
        <v>1.0591271294897382</v>
      </c>
      <c r="K392" s="58">
        <f t="shared" si="30"/>
        <v>2.6459280391298945</v>
      </c>
      <c r="L392" s="58">
        <f t="shared" si="31"/>
        <v>5.3613597127529911</v>
      </c>
      <c r="M392" s="2">
        <f t="shared" si="33"/>
        <v>75.09999999999971</v>
      </c>
      <c r="N392" s="58">
        <f t="shared" si="32"/>
        <v>3.3155792276964569</v>
      </c>
    </row>
    <row r="393" spans="10:14" x14ac:dyDescent="0.2">
      <c r="J393" s="58">
        <f t="shared" si="29"/>
        <v>1.0647617958267681</v>
      </c>
      <c r="K393" s="58">
        <f t="shared" si="30"/>
        <v>2.6548041115995478</v>
      </c>
      <c r="L393" s="58">
        <f t="shared" si="31"/>
        <v>5.3732315370956627</v>
      </c>
      <c r="M393" s="2">
        <f t="shared" si="33"/>
        <v>75.199999999999704</v>
      </c>
      <c r="N393" s="58">
        <f t="shared" si="32"/>
        <v>3.2978723404255845</v>
      </c>
    </row>
    <row r="394" spans="10:14" x14ac:dyDescent="0.2">
      <c r="J394" s="58">
        <f t="shared" si="29"/>
        <v>1.0704134146833297</v>
      </c>
      <c r="K394" s="58">
        <f t="shared" si="30"/>
        <v>2.6636916793947663</v>
      </c>
      <c r="L394" s="58">
        <f t="shared" si="31"/>
        <v>5.385104662217338</v>
      </c>
      <c r="M394" s="2">
        <f t="shared" si="33"/>
        <v>75.299999999999699</v>
      </c>
      <c r="N394" s="58">
        <f t="shared" si="32"/>
        <v>3.2802124833997883</v>
      </c>
    </row>
    <row r="395" spans="10:14" x14ac:dyDescent="0.2">
      <c r="J395" s="58">
        <f t="shared" si="29"/>
        <v>1.0760820258048169</v>
      </c>
      <c r="K395" s="58">
        <f t="shared" si="30"/>
        <v>2.672590746013352</v>
      </c>
      <c r="L395" s="58">
        <f t="shared" si="31"/>
        <v>5.3969790788916798</v>
      </c>
      <c r="M395" s="2">
        <f t="shared" si="33"/>
        <v>75.399999999999693</v>
      </c>
      <c r="N395" s="58">
        <f t="shared" si="32"/>
        <v>3.2625994694960756</v>
      </c>
    </row>
    <row r="396" spans="10:14" x14ac:dyDescent="0.2">
      <c r="J396" s="58">
        <f t="shared" si="29"/>
        <v>1.0817676692066027</v>
      </c>
      <c r="K396" s="58">
        <f t="shared" si="30"/>
        <v>2.6815013150267739</v>
      </c>
      <c r="L396" s="58">
        <f t="shared" si="31"/>
        <v>5.4088547779418912</v>
      </c>
      <c r="M396" s="2">
        <f t="shared" si="33"/>
        <v>75.499999999999687</v>
      </c>
      <c r="N396" s="58">
        <f t="shared" si="32"/>
        <v>3.2450331125828367</v>
      </c>
    </row>
    <row r="397" spans="10:14" x14ac:dyDescent="0.2">
      <c r="J397" s="58">
        <f t="shared" si="29"/>
        <v>1.0874703851749514</v>
      </c>
      <c r="K397" s="58">
        <f t="shared" si="30"/>
        <v>2.6904233900799079</v>
      </c>
      <c r="L397" s="58">
        <f t="shared" si="31"/>
        <v>5.4207317502403987</v>
      </c>
      <c r="M397" s="2">
        <f t="shared" si="33"/>
        <v>75.599999999999682</v>
      </c>
      <c r="N397" s="58">
        <f t="shared" si="32"/>
        <v>3.227513227513283</v>
      </c>
    </row>
    <row r="398" spans="10:14" x14ac:dyDescent="0.2">
      <c r="J398" s="58">
        <f t="shared" si="29"/>
        <v>1.0931902142679379</v>
      </c>
      <c r="K398" s="58">
        <f t="shared" si="30"/>
        <v>2.6993569748907582</v>
      </c>
      <c r="L398" s="58">
        <f t="shared" si="31"/>
        <v>5.432609986708524</v>
      </c>
      <c r="M398" s="2">
        <f t="shared" si="33"/>
        <v>75.699999999999676</v>
      </c>
      <c r="N398" s="58">
        <f t="shared" si="32"/>
        <v>3.2100396301189473</v>
      </c>
    </row>
    <row r="399" spans="10:14" x14ac:dyDescent="0.2">
      <c r="J399" s="58">
        <f t="shared" si="29"/>
        <v>1.0989271973163826</v>
      </c>
      <c r="K399" s="58">
        <f t="shared" si="30"/>
        <v>2.7083020732502017</v>
      </c>
      <c r="L399" s="58">
        <f t="shared" si="31"/>
        <v>5.4444894783161626</v>
      </c>
      <c r="M399" s="2">
        <f t="shared" si="33"/>
        <v>75.79999999999967</v>
      </c>
      <c r="N399" s="58">
        <f t="shared" si="32"/>
        <v>3.1926121372032235</v>
      </c>
    </row>
    <row r="400" spans="10:14" x14ac:dyDescent="0.2">
      <c r="J400" s="58">
        <f t="shared" si="29"/>
        <v>1.1046813754247906</v>
      </c>
      <c r="K400" s="58">
        <f t="shared" si="30"/>
        <v>2.7172586890217136</v>
      </c>
      <c r="L400" s="58">
        <f t="shared" si="31"/>
        <v>5.4563702160814564</v>
      </c>
      <c r="M400" s="2">
        <f t="shared" si="33"/>
        <v>75.899999999999665</v>
      </c>
      <c r="N400" s="58">
        <f t="shared" si="32"/>
        <v>3.1752305665349727</v>
      </c>
    </row>
    <row r="401" spans="10:14" x14ac:dyDescent="0.2">
      <c r="J401" s="58">
        <f t="shared" si="29"/>
        <v>1.11045278997231</v>
      </c>
      <c r="K401" s="58">
        <f t="shared" si="30"/>
        <v>2.7262268261411182</v>
      </c>
      <c r="L401" s="58">
        <f t="shared" si="31"/>
        <v>5.4682521910704871</v>
      </c>
      <c r="M401" s="2">
        <f t="shared" si="33"/>
        <v>75.999999999999659</v>
      </c>
      <c r="N401" s="58">
        <f t="shared" si="32"/>
        <v>3.1578947368421648</v>
      </c>
    </row>
    <row r="402" spans="10:14" x14ac:dyDescent="0.2">
      <c r="J402" s="58">
        <f t="shared" si="29"/>
        <v>1.1162414826136968</v>
      </c>
      <c r="K402" s="58">
        <f t="shared" si="30"/>
        <v>2.7352064886163219</v>
      </c>
      <c r="L402" s="58">
        <f t="shared" si="31"/>
        <v>5.4801353943969504</v>
      </c>
      <c r="M402" s="2">
        <f t="shared" si="33"/>
        <v>76.099999999999653</v>
      </c>
      <c r="N402" s="58">
        <f t="shared" si="32"/>
        <v>3.1406044678055789</v>
      </c>
    </row>
    <row r="403" spans="10:14" x14ac:dyDescent="0.2">
      <c r="J403" s="58">
        <f t="shared" si="29"/>
        <v>1.1220474952802886</v>
      </c>
      <c r="K403" s="58">
        <f t="shared" si="30"/>
        <v>2.7441976805270629</v>
      </c>
      <c r="L403" s="58">
        <f t="shared" si="31"/>
        <v>5.4920198172218511</v>
      </c>
      <c r="M403" s="2">
        <f t="shared" si="33"/>
        <v>76.199999999999648</v>
      </c>
      <c r="N403" s="58">
        <f t="shared" si="32"/>
        <v>3.1233595800525542</v>
      </c>
    </row>
    <row r="404" spans="10:14" x14ac:dyDescent="0.2">
      <c r="J404" s="58">
        <f t="shared" si="29"/>
        <v>1.1278708701809954</v>
      </c>
      <c r="K404" s="58">
        <f t="shared" si="30"/>
        <v>2.7532004060246602</v>
      </c>
      <c r="L404" s="58">
        <f t="shared" si="31"/>
        <v>5.5039054507531926</v>
      </c>
      <c r="M404" s="2">
        <f t="shared" si="33"/>
        <v>76.299999999999642</v>
      </c>
      <c r="N404" s="58">
        <f t="shared" si="32"/>
        <v>3.1061598951507818</v>
      </c>
    </row>
    <row r="405" spans="10:14" x14ac:dyDescent="0.2">
      <c r="J405" s="58">
        <f t="shared" si="29"/>
        <v>1.133711649803298</v>
      </c>
      <c r="K405" s="58">
        <f t="shared" si="30"/>
        <v>2.7622146693317573</v>
      </c>
      <c r="L405" s="58">
        <f t="shared" si="31"/>
        <v>5.5157922862456639</v>
      </c>
      <c r="M405" s="2">
        <f t="shared" si="33"/>
        <v>76.399999999999636</v>
      </c>
      <c r="N405" s="58">
        <f t="shared" si="32"/>
        <v>3.0890052356021567</v>
      </c>
    </row>
    <row r="406" spans="10:14" x14ac:dyDescent="0.2">
      <c r="J406" s="58">
        <f t="shared" si="29"/>
        <v>1.1395698769142586</v>
      </c>
      <c r="K406" s="58">
        <f t="shared" si="30"/>
        <v>2.7712404747420809</v>
      </c>
      <c r="L406" s="58">
        <f t="shared" si="31"/>
        <v>5.5276803150003353</v>
      </c>
      <c r="M406" s="2">
        <f t="shared" si="33"/>
        <v>76.499999999999631</v>
      </c>
      <c r="N406" s="58">
        <f t="shared" si="32"/>
        <v>3.071895424836665</v>
      </c>
    </row>
    <row r="407" spans="10:14" x14ac:dyDescent="0.2">
      <c r="J407" s="58">
        <f t="shared" si="29"/>
        <v>1.1454455945615423</v>
      </c>
      <c r="K407" s="58">
        <f t="shared" si="30"/>
        <v>2.7802778266201966</v>
      </c>
      <c r="L407" s="58">
        <f t="shared" si="31"/>
        <v>5.539569528364364</v>
      </c>
      <c r="M407" s="2">
        <f t="shared" si="33"/>
        <v>76.599999999999625</v>
      </c>
      <c r="N407" s="58">
        <f t="shared" si="32"/>
        <v>3.0548302872063307</v>
      </c>
    </row>
    <row r="408" spans="10:14" x14ac:dyDescent="0.2">
      <c r="J408" s="58">
        <f t="shared" si="29"/>
        <v>1.1513388460744503</v>
      </c>
      <c r="K408" s="58">
        <f t="shared" si="30"/>
        <v>2.7893267294012603</v>
      </c>
      <c r="L408" s="58">
        <f t="shared" si="31"/>
        <v>5.5514599177306847</v>
      </c>
      <c r="M408" s="2">
        <f t="shared" si="33"/>
        <v>76.699999999999619</v>
      </c>
      <c r="N408" s="58">
        <f t="shared" si="32"/>
        <v>3.0378096479792038</v>
      </c>
    </row>
    <row r="409" spans="10:14" x14ac:dyDescent="0.2">
      <c r="J409" s="58">
        <f t="shared" ref="J409:J472" si="34">IF(B$5&gt;0.2*($N409),(B$5-0.2*($N409))^2/(B$5+0.8*($N409)),0)</f>
        <v>1.1572496750649639</v>
      </c>
      <c r="K409" s="58">
        <f t="shared" ref="K409:K472" si="35">IF(C$5&gt;0.2*($N409),(C$5-0.2*($N409))^2/(C$5+0.8*($N409)),0)</f>
        <v>2.7983871875907811</v>
      </c>
      <c r="L409" s="58">
        <f t="shared" ref="L409:L472" si="36">IF(D$5&gt;0.2*($N409),(D$5-0.2*($N409))^2/(D$5+0.8*($N409)),0)</f>
        <v>5.5633514745377077</v>
      </c>
      <c r="M409" s="2">
        <f t="shared" si="33"/>
        <v>76.799999999999613</v>
      </c>
      <c r="N409" s="58">
        <f t="shared" si="32"/>
        <v>3.0208333333333997</v>
      </c>
    </row>
    <row r="410" spans="10:14" x14ac:dyDescent="0.2">
      <c r="J410" s="58">
        <f t="shared" si="34"/>
        <v>1.1631781254288029</v>
      </c>
      <c r="K410" s="58">
        <f t="shared" si="35"/>
        <v>2.8074592057643919</v>
      </c>
      <c r="L410" s="58">
        <f t="shared" si="36"/>
        <v>5.5752441902690384</v>
      </c>
      <c r="M410" s="2">
        <f t="shared" si="33"/>
        <v>76.899999999999608</v>
      </c>
      <c r="N410" s="58">
        <f t="shared" si="32"/>
        <v>3.0039011703511722</v>
      </c>
    </row>
    <row r="411" spans="10:14" x14ac:dyDescent="0.2">
      <c r="J411" s="58">
        <f t="shared" si="34"/>
        <v>1.169124241346492</v>
      </c>
      <c r="K411" s="58">
        <f t="shared" si="35"/>
        <v>2.8165427885676033</v>
      </c>
      <c r="L411" s="58">
        <f t="shared" si="36"/>
        <v>5.5871380564531705</v>
      </c>
      <c r="M411" s="2">
        <f t="shared" si="33"/>
        <v>76.999999999999602</v>
      </c>
      <c r="N411" s="58">
        <f t="shared" si="32"/>
        <v>2.9870129870130544</v>
      </c>
    </row>
    <row r="412" spans="10:14" x14ac:dyDescent="0.2">
      <c r="J412" s="58">
        <f t="shared" si="34"/>
        <v>1.175088067284439</v>
      </c>
      <c r="K412" s="58">
        <f t="shared" si="35"/>
        <v>2.8256379407155752</v>
      </c>
      <c r="L412" s="58">
        <f t="shared" si="36"/>
        <v>5.5990330646631969</v>
      </c>
      <c r="M412" s="2">
        <f t="shared" si="33"/>
        <v>77.099999999999596</v>
      </c>
      <c r="N412" s="58">
        <f t="shared" si="32"/>
        <v>2.9701686121920261</v>
      </c>
    </row>
    <row r="413" spans="10:14" x14ac:dyDescent="0.2">
      <c r="J413" s="58">
        <f t="shared" si="34"/>
        <v>1.181069647996027</v>
      </c>
      <c r="K413" s="58">
        <f t="shared" si="35"/>
        <v>2.8347446669928908</v>
      </c>
      <c r="L413" s="58">
        <f t="shared" si="36"/>
        <v>5.6109292065165262</v>
      </c>
      <c r="M413" s="2">
        <f t="shared" si="33"/>
        <v>77.199999999999591</v>
      </c>
      <c r="N413" s="58">
        <f t="shared" si="32"/>
        <v>2.9533678756477375</v>
      </c>
    </row>
    <row r="414" spans="10:14" x14ac:dyDescent="0.2">
      <c r="J414" s="58">
        <f t="shared" si="34"/>
        <v>1.1870690285227192</v>
      </c>
      <c r="K414" s="58">
        <f t="shared" si="35"/>
        <v>2.8438629722533251</v>
      </c>
      <c r="L414" s="58">
        <f t="shared" si="36"/>
        <v>5.6228264736745883</v>
      </c>
      <c r="M414" s="2">
        <f t="shared" si="33"/>
        <v>77.299999999999585</v>
      </c>
      <c r="N414" s="58">
        <f t="shared" si="32"/>
        <v>2.9366106080207679</v>
      </c>
    </row>
    <row r="415" spans="10:14" x14ac:dyDescent="0.2">
      <c r="J415" s="58">
        <f t="shared" si="34"/>
        <v>1.1930862541951703</v>
      </c>
      <c r="K415" s="58">
        <f t="shared" si="35"/>
        <v>2.8529928614196209</v>
      </c>
      <c r="L415" s="58">
        <f t="shared" si="36"/>
        <v>5.6347248578425617</v>
      </c>
      <c r="M415" s="2">
        <f t="shared" si="33"/>
        <v>77.399999999999579</v>
      </c>
      <c r="N415" s="58">
        <f t="shared" si="32"/>
        <v>2.9198966408269431</v>
      </c>
    </row>
    <row r="416" spans="10:14" x14ac:dyDescent="0.2">
      <c r="J416" s="58">
        <f t="shared" si="34"/>
        <v>1.199121370634354</v>
      </c>
      <c r="K416" s="58">
        <f t="shared" si="35"/>
        <v>2.8621343394832652</v>
      </c>
      <c r="L416" s="58">
        <f t="shared" si="36"/>
        <v>5.6466243507690725</v>
      </c>
      <c r="M416" s="2">
        <f t="shared" si="33"/>
        <v>77.499999999999574</v>
      </c>
      <c r="N416" s="58">
        <f t="shared" si="32"/>
        <v>2.9032258064516832</v>
      </c>
    </row>
    <row r="417" spans="10:14" x14ac:dyDescent="0.2">
      <c r="J417" s="58">
        <f t="shared" si="34"/>
        <v>1.2051744237527011</v>
      </c>
      <c r="K417" s="58">
        <f t="shared" si="35"/>
        <v>2.8712874115042704</v>
      </c>
      <c r="L417" s="58">
        <f t="shared" si="36"/>
        <v>5.6585249442459329</v>
      </c>
      <c r="M417" s="2">
        <f t="shared" si="33"/>
        <v>77.599999999999568</v>
      </c>
      <c r="N417" s="58">
        <f t="shared" si="32"/>
        <v>2.8865979381444014</v>
      </c>
    </row>
    <row r="418" spans="10:14" x14ac:dyDescent="0.2">
      <c r="J418" s="58">
        <f t="shared" si="34"/>
        <v>1.2112454597552511</v>
      </c>
      <c r="K418" s="58">
        <f t="shared" si="35"/>
        <v>2.8804520826109559</v>
      </c>
      <c r="L418" s="58">
        <f t="shared" si="36"/>
        <v>5.6704266301078521</v>
      </c>
      <c r="M418" s="2">
        <f t="shared" si="33"/>
        <v>77.699999999999562</v>
      </c>
      <c r="N418" s="58">
        <f t="shared" si="32"/>
        <v>2.8700128700129426</v>
      </c>
    </row>
    <row r="419" spans="10:14" x14ac:dyDescent="0.2">
      <c r="J419" s="58">
        <f t="shared" si="34"/>
        <v>1.2173345251408143</v>
      </c>
      <c r="K419" s="58">
        <f t="shared" si="35"/>
        <v>2.8896283579997335</v>
      </c>
      <c r="L419" s="58">
        <f t="shared" si="36"/>
        <v>5.6823294002321676</v>
      </c>
      <c r="M419" s="2">
        <f t="shared" si="33"/>
        <v>77.799999999999557</v>
      </c>
      <c r="N419" s="58">
        <f t="shared" si="32"/>
        <v>2.8534704370180677</v>
      </c>
    </row>
    <row r="420" spans="10:14" x14ac:dyDescent="0.2">
      <c r="J420" s="58">
        <f t="shared" si="34"/>
        <v>1.2234416667031427</v>
      </c>
      <c r="K420" s="58">
        <f t="shared" si="35"/>
        <v>2.8988162429348892</v>
      </c>
      <c r="L420" s="58">
        <f t="shared" si="36"/>
        <v>5.6942332465385643</v>
      </c>
      <c r="M420" s="2">
        <f t="shared" si="33"/>
        <v>77.899999999999551</v>
      </c>
      <c r="N420" s="58">
        <f t="shared" si="32"/>
        <v>2.8369704749679823</v>
      </c>
    </row>
    <row r="421" spans="10:14" x14ac:dyDescent="0.2">
      <c r="J421" s="58">
        <f t="shared" si="34"/>
        <v>1.2295669315321225</v>
      </c>
      <c r="K421" s="58">
        <f t="shared" si="35"/>
        <v>2.908015742748379</v>
      </c>
      <c r="L421" s="58">
        <f t="shared" si="36"/>
        <v>5.7061381609888064</v>
      </c>
      <c r="M421" s="2">
        <f t="shared" si="33"/>
        <v>77.999999999999545</v>
      </c>
      <c r="N421" s="58">
        <f t="shared" si="32"/>
        <v>2.8205128205128958</v>
      </c>
    </row>
    <row r="422" spans="10:14" x14ac:dyDescent="0.2">
      <c r="J422" s="58">
        <f t="shared" si="34"/>
        <v>1.2357103670149667</v>
      </c>
      <c r="K422" s="58">
        <f t="shared" si="35"/>
        <v>2.9172268628396139</v>
      </c>
      <c r="L422" s="58">
        <f t="shared" si="36"/>
        <v>5.7180441355864664</v>
      </c>
      <c r="M422" s="2">
        <f t="shared" si="33"/>
        <v>78.09999999999954</v>
      </c>
      <c r="N422" s="58">
        <f t="shared" si="32"/>
        <v>2.8040973111396408</v>
      </c>
    </row>
    <row r="423" spans="10:14" x14ac:dyDescent="0.2">
      <c r="J423" s="58">
        <f t="shared" si="34"/>
        <v>1.2418720208374308</v>
      </c>
      <c r="K423" s="58">
        <f t="shared" si="35"/>
        <v>2.9264496086752585</v>
      </c>
      <c r="L423" s="58">
        <f t="shared" si="36"/>
        <v>5.7299511623766648</v>
      </c>
      <c r="M423" s="2">
        <f t="shared" si="33"/>
        <v>78.199999999999534</v>
      </c>
      <c r="N423" s="58">
        <f t="shared" si="32"/>
        <v>2.7877237851663175</v>
      </c>
    </row>
    <row r="424" spans="10:14" x14ac:dyDescent="0.2">
      <c r="J424" s="58">
        <f t="shared" si="34"/>
        <v>1.2480519409850339</v>
      </c>
      <c r="K424" s="58">
        <f t="shared" si="35"/>
        <v>2.9356839857890225</v>
      </c>
      <c r="L424" s="58">
        <f t="shared" si="36"/>
        <v>5.741859233445795</v>
      </c>
      <c r="M424" s="2">
        <f t="shared" si="33"/>
        <v>78.299999999999528</v>
      </c>
      <c r="N424" s="58">
        <f t="shared" si="32"/>
        <v>2.7713920817369857</v>
      </c>
    </row>
    <row r="425" spans="10:14" x14ac:dyDescent="0.2">
      <c r="J425" s="58">
        <f t="shared" si="34"/>
        <v>1.2542501757442928</v>
      </c>
      <c r="K425" s="58">
        <f t="shared" si="35"/>
        <v>2.94492999978146</v>
      </c>
      <c r="L425" s="58">
        <f t="shared" si="36"/>
        <v>5.7537683409212619</v>
      </c>
      <c r="M425" s="2">
        <f t="shared" si="33"/>
        <v>78.399999999999523</v>
      </c>
      <c r="N425" s="58">
        <f t="shared" ref="N425:N488" si="37">IF(M425&gt;0,1000/M425-10,1000)</f>
        <v>2.7551020408164035</v>
      </c>
    </row>
    <row r="426" spans="10:14" x14ac:dyDescent="0.2">
      <c r="J426" s="58">
        <f t="shared" si="34"/>
        <v>1.2604667737039736</v>
      </c>
      <c r="K426" s="58">
        <f t="shared" si="35"/>
        <v>2.9541876563197684</v>
      </c>
      <c r="L426" s="58">
        <f t="shared" si="36"/>
        <v>5.7656784769712237</v>
      </c>
      <c r="M426" s="2">
        <f t="shared" si="33"/>
        <v>78.499999999999517</v>
      </c>
      <c r="N426" s="58">
        <f t="shared" si="37"/>
        <v>2.7388535031847923</v>
      </c>
    </row>
    <row r="427" spans="10:14" x14ac:dyDescent="0.2">
      <c r="J427" s="58">
        <f t="shared" si="34"/>
        <v>1.2667017837563515</v>
      </c>
      <c r="K427" s="58">
        <f t="shared" si="35"/>
        <v>2.9634569611375943</v>
      </c>
      <c r="L427" s="58">
        <f t="shared" si="36"/>
        <v>5.7775896338043333</v>
      </c>
      <c r="M427" s="2">
        <f t="shared" si="33"/>
        <v>78.599999999999511</v>
      </c>
      <c r="N427" s="58">
        <f t="shared" si="37"/>
        <v>2.7226463104326495</v>
      </c>
    </row>
    <row r="428" spans="10:14" x14ac:dyDescent="0.2">
      <c r="J428" s="58">
        <f t="shared" si="34"/>
        <v>1.2729552550984824</v>
      </c>
      <c r="K428" s="58">
        <f t="shared" si="35"/>
        <v>2.9727379200348358</v>
      </c>
      <c r="L428" s="58">
        <f t="shared" si="36"/>
        <v>5.7895018036694799</v>
      </c>
      <c r="M428" s="2">
        <f t="shared" si="33"/>
        <v>78.699999999999505</v>
      </c>
      <c r="N428" s="58">
        <f t="shared" si="37"/>
        <v>2.7064803049556065</v>
      </c>
    </row>
    <row r="429" spans="10:14" x14ac:dyDescent="0.2">
      <c r="J429" s="58">
        <f t="shared" si="34"/>
        <v>1.2792272372334887</v>
      </c>
      <c r="K429" s="58">
        <f t="shared" si="35"/>
        <v>2.9820305388774448</v>
      </c>
      <c r="L429" s="58">
        <f t="shared" si="36"/>
        <v>5.8014149788555285</v>
      </c>
      <c r="M429" s="2">
        <f t="shared" si="33"/>
        <v>78.7999999999995</v>
      </c>
      <c r="N429" s="58">
        <f t="shared" si="37"/>
        <v>2.6903553299493197</v>
      </c>
    </row>
    <row r="430" spans="10:14" x14ac:dyDescent="0.2">
      <c r="J430" s="58">
        <f t="shared" si="34"/>
        <v>1.285517779971862</v>
      </c>
      <c r="K430" s="58">
        <f t="shared" si="35"/>
        <v>2.9913348235972421</v>
      </c>
      <c r="L430" s="58">
        <f t="shared" si="36"/>
        <v>5.8133291516910734</v>
      </c>
      <c r="M430" s="2">
        <f t="shared" si="33"/>
        <v>78.899999999999494</v>
      </c>
      <c r="N430" s="58">
        <f t="shared" si="37"/>
        <v>2.6742712294043898</v>
      </c>
    </row>
    <row r="431" spans="10:14" x14ac:dyDescent="0.2">
      <c r="J431" s="58">
        <f t="shared" si="34"/>
        <v>1.2918269334327674</v>
      </c>
      <c r="K431" s="58">
        <f t="shared" si="35"/>
        <v>3.0006507801917226</v>
      </c>
      <c r="L431" s="58">
        <f t="shared" si="36"/>
        <v>5.8252443145441806</v>
      </c>
      <c r="M431" s="2">
        <f t="shared" si="33"/>
        <v>78.999999999999488</v>
      </c>
      <c r="N431" s="58">
        <f t="shared" si="37"/>
        <v>2.6582278481013475</v>
      </c>
    </row>
    <row r="432" spans="10:14" x14ac:dyDescent="0.2">
      <c r="J432" s="58">
        <f t="shared" si="34"/>
        <v>1.298154748045375</v>
      </c>
      <c r="K432" s="58">
        <f t="shared" si="35"/>
        <v>3.0099784147238724</v>
      </c>
      <c r="L432" s="58">
        <f t="shared" si="36"/>
        <v>5.8371604598221429</v>
      </c>
      <c r="M432" s="2">
        <f t="shared" si="33"/>
        <v>79.099999999999483</v>
      </c>
      <c r="N432" s="58">
        <f t="shared" si="37"/>
        <v>2.6422250316056459</v>
      </c>
    </row>
    <row r="433" spans="10:14" x14ac:dyDescent="0.2">
      <c r="J433" s="58">
        <f t="shared" si="34"/>
        <v>1.3045012745501947</v>
      </c>
      <c r="K433" s="58">
        <f t="shared" si="35"/>
        <v>3.0193177333219841</v>
      </c>
      <c r="L433" s="58">
        <f t="shared" si="36"/>
        <v>5.8490775799712349</v>
      </c>
      <c r="M433" s="2">
        <f t="shared" ref="M433:M496" si="38">M432+0.1</f>
        <v>79.199999999999477</v>
      </c>
      <c r="N433" s="58">
        <f t="shared" si="37"/>
        <v>2.6262626262627098</v>
      </c>
    </row>
    <row r="434" spans="10:14" x14ac:dyDescent="0.2">
      <c r="J434" s="58">
        <f t="shared" si="34"/>
        <v>1.3108665640004233</v>
      </c>
      <c r="K434" s="58">
        <f t="shared" si="35"/>
        <v>3.0286687421794651</v>
      </c>
      <c r="L434" s="58">
        <f t="shared" si="36"/>
        <v>5.8609956674764554</v>
      </c>
      <c r="M434" s="2">
        <f t="shared" si="38"/>
        <v>79.299999999999471</v>
      </c>
      <c r="N434" s="58">
        <f t="shared" si="37"/>
        <v>2.610340479193022</v>
      </c>
    </row>
    <row r="435" spans="10:14" x14ac:dyDescent="0.2">
      <c r="J435" s="58">
        <f t="shared" si="34"/>
        <v>1.3172506677633125</v>
      </c>
      <c r="K435" s="58">
        <f t="shared" si="35"/>
        <v>3.0380314475546708</v>
      </c>
      <c r="L435" s="58">
        <f t="shared" si="36"/>
        <v>5.872914714861297</v>
      </c>
      <c r="M435" s="2">
        <f t="shared" si="38"/>
        <v>79.399999999999466</v>
      </c>
      <c r="N435" s="58">
        <f t="shared" si="37"/>
        <v>2.5944584382872389</v>
      </c>
    </row>
    <row r="436" spans="10:14" x14ac:dyDescent="0.2">
      <c r="J436" s="58">
        <f t="shared" si="34"/>
        <v>1.3236536375215431</v>
      </c>
      <c r="K436" s="58">
        <f t="shared" si="35"/>
        <v>3.0474058557707093</v>
      </c>
      <c r="L436" s="58">
        <f t="shared" si="36"/>
        <v>5.884834714687492</v>
      </c>
      <c r="M436" s="2">
        <f t="shared" si="38"/>
        <v>79.49999999999946</v>
      </c>
      <c r="N436" s="58">
        <f t="shared" si="37"/>
        <v>2.5786163522013439</v>
      </c>
    </row>
    <row r="437" spans="10:14" x14ac:dyDescent="0.2">
      <c r="J437" s="58">
        <f t="shared" si="34"/>
        <v>1.3300755252746159</v>
      </c>
      <c r="K437" s="58">
        <f t="shared" si="35"/>
        <v>3.0567919732152804</v>
      </c>
      <c r="L437" s="58">
        <f t="shared" si="36"/>
        <v>5.8967556595547821</v>
      </c>
      <c r="M437" s="2">
        <f t="shared" si="38"/>
        <v>79.599999999999454</v>
      </c>
      <c r="N437" s="58">
        <f t="shared" si="37"/>
        <v>2.5628140703518447</v>
      </c>
    </row>
    <row r="438" spans="10:14" x14ac:dyDescent="0.2">
      <c r="J438" s="58">
        <f t="shared" si="34"/>
        <v>1.3365163833402522</v>
      </c>
      <c r="K438" s="58">
        <f t="shared" si="35"/>
        <v>3.0661898063404864</v>
      </c>
      <c r="L438" s="58">
        <f t="shared" si="36"/>
        <v>5.9086775421006719</v>
      </c>
      <c r="M438" s="2">
        <f t="shared" si="38"/>
        <v>79.699999999999449</v>
      </c>
      <c r="N438" s="58">
        <f t="shared" si="37"/>
        <v>2.5470514429110036</v>
      </c>
    </row>
    <row r="439" spans="10:14" x14ac:dyDescent="0.2">
      <c r="J439" s="58">
        <f t="shared" si="34"/>
        <v>1.3429762643558159</v>
      </c>
      <c r="K439" s="58">
        <f t="shared" si="35"/>
        <v>3.0755993616626713</v>
      </c>
      <c r="L439" s="58">
        <f t="shared" si="36"/>
        <v>5.9206003550002002</v>
      </c>
      <c r="M439" s="2">
        <f t="shared" si="38"/>
        <v>79.799999999999443</v>
      </c>
      <c r="N439" s="58">
        <f t="shared" si="37"/>
        <v>2.5313283208020927</v>
      </c>
    </row>
    <row r="440" spans="10:14" x14ac:dyDescent="0.2">
      <c r="J440" s="58">
        <f t="shared" si="34"/>
        <v>1.3494552212797366</v>
      </c>
      <c r="K440" s="58">
        <f t="shared" si="35"/>
        <v>3.0850206457622371</v>
      </c>
      <c r="L440" s="58">
        <f t="shared" si="36"/>
        <v>5.9325240909656927</v>
      </c>
      <c r="M440" s="2">
        <f t="shared" si="38"/>
        <v>79.899999999999437</v>
      </c>
      <c r="N440" s="58">
        <f t="shared" si="37"/>
        <v>2.5156445556947062</v>
      </c>
    </row>
    <row r="441" spans="10:14" x14ac:dyDescent="0.2">
      <c r="J441" s="58">
        <f t="shared" si="34"/>
        <v>1.3559533073929591</v>
      </c>
      <c r="K441" s="58">
        <f t="shared" si="35"/>
        <v>3.0944536652834871</v>
      </c>
      <c r="L441" s="58">
        <f t="shared" si="36"/>
        <v>5.9444487427465473</v>
      </c>
      <c r="M441" s="2">
        <f t="shared" si="38"/>
        <v>79.999999999999432</v>
      </c>
      <c r="N441" s="58">
        <f t="shared" si="37"/>
        <v>2.5000000000000888</v>
      </c>
    </row>
    <row r="442" spans="10:14" x14ac:dyDescent="0.2">
      <c r="J442" s="58">
        <f t="shared" si="34"/>
        <v>1.362470576300397</v>
      </c>
      <c r="K442" s="58">
        <f t="shared" si="35"/>
        <v>3.1038984269344514</v>
      </c>
      <c r="L442" s="58">
        <f t="shared" si="36"/>
        <v>5.9563743031289826</v>
      </c>
      <c r="M442" s="2">
        <f t="shared" si="38"/>
        <v>80.099999999999426</v>
      </c>
      <c r="N442" s="58">
        <f t="shared" si="37"/>
        <v>2.4843945068665061</v>
      </c>
    </row>
    <row r="443" spans="10:14" x14ac:dyDescent="0.2">
      <c r="J443" s="58">
        <f t="shared" si="34"/>
        <v>1.3690070819324061</v>
      </c>
      <c r="K443" s="58">
        <f t="shared" si="35"/>
        <v>3.11335493748672</v>
      </c>
      <c r="L443" s="58">
        <f t="shared" si="36"/>
        <v>5.9683007649358197</v>
      </c>
      <c r="M443" s="2">
        <f t="shared" si="38"/>
        <v>80.19999999999942</v>
      </c>
      <c r="N443" s="58">
        <f t="shared" si="37"/>
        <v>2.468827930174653</v>
      </c>
    </row>
    <row r="444" spans="10:14" x14ac:dyDescent="0.2">
      <c r="J444" s="58">
        <f t="shared" si="34"/>
        <v>1.3755628785462664</v>
      </c>
      <c r="K444" s="58">
        <f t="shared" si="35"/>
        <v>3.1228232037752868</v>
      </c>
      <c r="L444" s="58">
        <f t="shared" si="36"/>
        <v>5.9802281210262551</v>
      </c>
      <c r="M444" s="2">
        <f t="shared" si="38"/>
        <v>80.299999999999415</v>
      </c>
      <c r="N444" s="58">
        <f t="shared" si="37"/>
        <v>2.4533001245330919</v>
      </c>
    </row>
    <row r="445" spans="10:14" x14ac:dyDescent="0.2">
      <c r="J445" s="58">
        <f t="shared" si="34"/>
        <v>1.3821380207276845</v>
      </c>
      <c r="K445" s="58">
        <f t="shared" si="35"/>
        <v>3.13230323269838</v>
      </c>
      <c r="L445" s="58">
        <f t="shared" si="36"/>
        <v>5.9921563642956261</v>
      </c>
      <c r="M445" s="2">
        <f t="shared" si="38"/>
        <v>80.399999999999409</v>
      </c>
      <c r="N445" s="58">
        <f t="shared" si="37"/>
        <v>2.4378109452737231</v>
      </c>
    </row>
    <row r="446" spans="10:14" x14ac:dyDescent="0.2">
      <c r="J446" s="58">
        <f t="shared" si="34"/>
        <v>1.3887325633923038</v>
      </c>
      <c r="K446" s="58">
        <f t="shared" si="35"/>
        <v>3.1417950312173084</v>
      </c>
      <c r="L446" s="58">
        <f t="shared" si="36"/>
        <v>6.0040854876751979</v>
      </c>
      <c r="M446" s="2">
        <f t="shared" si="38"/>
        <v>80.499999999999403</v>
      </c>
      <c r="N446" s="58">
        <f t="shared" si="37"/>
        <v>2.4223602484472977</v>
      </c>
    </row>
    <row r="447" spans="10:14" x14ac:dyDescent="0.2">
      <c r="J447" s="58">
        <f t="shared" si="34"/>
        <v>1.3953465617872316</v>
      </c>
      <c r="K447" s="58">
        <f t="shared" si="35"/>
        <v>3.1512986063563027</v>
      </c>
      <c r="L447" s="58">
        <f t="shared" si="36"/>
        <v>6.0160154841319287</v>
      </c>
      <c r="M447" s="2">
        <f t="shared" si="38"/>
        <v>80.599999999999397</v>
      </c>
      <c r="N447" s="58">
        <f t="shared" si="37"/>
        <v>2.4069478908189517</v>
      </c>
    </row>
    <row r="448" spans="10:14" x14ac:dyDescent="0.2">
      <c r="J448" s="58">
        <f t="shared" si="34"/>
        <v>1.4019800714925799</v>
      </c>
      <c r="K448" s="58">
        <f t="shared" si="35"/>
        <v>3.1608139652023541</v>
      </c>
      <c r="L448" s="58">
        <f t="shared" si="36"/>
        <v>6.0279463466682541</v>
      </c>
      <c r="M448" s="2">
        <f t="shared" si="38"/>
        <v>80.699999999999392</v>
      </c>
      <c r="N448" s="58">
        <f t="shared" si="37"/>
        <v>2.3915737298637865</v>
      </c>
    </row>
    <row r="449" spans="10:14" x14ac:dyDescent="0.2">
      <c r="J449" s="58">
        <f t="shared" si="34"/>
        <v>1.4086331484230228</v>
      </c>
      <c r="K449" s="58">
        <f t="shared" si="35"/>
        <v>3.1703411149050669</v>
      </c>
      <c r="L449" s="58">
        <f t="shared" si="36"/>
        <v>6.0398780683218689</v>
      </c>
      <c r="M449" s="2">
        <f t="shared" si="38"/>
        <v>80.799999999999386</v>
      </c>
      <c r="N449" s="58">
        <f t="shared" si="37"/>
        <v>2.3762376237624707</v>
      </c>
    </row>
    <row r="450" spans="10:14" x14ac:dyDescent="0.2">
      <c r="J450" s="58">
        <f t="shared" si="34"/>
        <v>1.4153058488293633</v>
      </c>
      <c r="K450" s="58">
        <f t="shared" si="35"/>
        <v>3.1798800626765042</v>
      </c>
      <c r="L450" s="58">
        <f t="shared" si="36"/>
        <v>6.051810642165508</v>
      </c>
      <c r="M450" s="2">
        <f t="shared" si="38"/>
        <v>80.89999999999938</v>
      </c>
      <c r="N450" s="58">
        <f t="shared" si="37"/>
        <v>2.360939431396881</v>
      </c>
    </row>
    <row r="451" spans="10:14" x14ac:dyDescent="0.2">
      <c r="J451" s="58">
        <f t="shared" si="34"/>
        <v>1.4219982293001181</v>
      </c>
      <c r="K451" s="58">
        <f t="shared" si="35"/>
        <v>3.1894308157910345</v>
      </c>
      <c r="L451" s="58">
        <f t="shared" si="36"/>
        <v>6.0637440613067231</v>
      </c>
      <c r="M451" s="2">
        <f t="shared" si="38"/>
        <v>80.999999999999375</v>
      </c>
      <c r="N451" s="58">
        <f t="shared" si="37"/>
        <v>2.3456790123457747</v>
      </c>
    </row>
    <row r="452" spans="10:14" x14ac:dyDescent="0.2">
      <c r="J452" s="58">
        <f t="shared" si="34"/>
        <v>1.4287103467631181</v>
      </c>
      <c r="K452" s="58">
        <f t="shared" si="35"/>
        <v>3.198993381585185</v>
      </c>
      <c r="L452" s="58">
        <f t="shared" si="36"/>
        <v>6.0756783188876797</v>
      </c>
      <c r="M452" s="2">
        <f t="shared" si="38"/>
        <v>81.099999999999369</v>
      </c>
      <c r="N452" s="58">
        <f t="shared" si="37"/>
        <v>2.3304562268804911</v>
      </c>
    </row>
    <row r="453" spans="10:14" x14ac:dyDescent="0.2">
      <c r="J453" s="58">
        <f t="shared" si="34"/>
        <v>1.4354422584871178</v>
      </c>
      <c r="K453" s="58">
        <f t="shared" si="35"/>
        <v>3.2085677674574984</v>
      </c>
      <c r="L453" s="58">
        <f t="shared" si="36"/>
        <v>6.0876134080849384</v>
      </c>
      <c r="M453" s="2">
        <f t="shared" si="38"/>
        <v>81.199999999999363</v>
      </c>
      <c r="N453" s="58">
        <f t="shared" si="37"/>
        <v>2.3152709359606884</v>
      </c>
    </row>
    <row r="454" spans="10:14" x14ac:dyDescent="0.2">
      <c r="J454" s="58">
        <f t="shared" si="34"/>
        <v>1.4421940220834293</v>
      </c>
      <c r="K454" s="58">
        <f t="shared" si="35"/>
        <v>3.218153980868383</v>
      </c>
      <c r="L454" s="58">
        <f t="shared" si="36"/>
        <v>6.0995493221092429</v>
      </c>
      <c r="M454" s="2">
        <f t="shared" si="38"/>
        <v>81.299999999999358</v>
      </c>
      <c r="N454" s="58">
        <f t="shared" si="37"/>
        <v>2.3001230012301086</v>
      </c>
    </row>
    <row r="455" spans="10:14" x14ac:dyDescent="0.2">
      <c r="J455" s="58">
        <f t="shared" si="34"/>
        <v>1.4489656955075554</v>
      </c>
      <c r="K455" s="58">
        <f t="shared" si="35"/>
        <v>3.2277520293399653</v>
      </c>
      <c r="L455" s="58">
        <f t="shared" si="36"/>
        <v>6.1114860542053</v>
      </c>
      <c r="M455" s="2">
        <f t="shared" si="38"/>
        <v>81.399999999999352</v>
      </c>
      <c r="N455" s="58">
        <f t="shared" si="37"/>
        <v>2.2850122850123835</v>
      </c>
    </row>
    <row r="456" spans="10:14" x14ac:dyDescent="0.2">
      <c r="J456" s="58">
        <f t="shared" si="34"/>
        <v>1.4557573370608603</v>
      </c>
      <c r="K456" s="58">
        <f t="shared" si="35"/>
        <v>3.2373619204559625</v>
      </c>
      <c r="L456" s="58">
        <f t="shared" si="36"/>
        <v>6.1234235976515992</v>
      </c>
      <c r="M456" s="2">
        <f t="shared" si="38"/>
        <v>81.499999999999346</v>
      </c>
      <c r="N456" s="58">
        <f t="shared" si="37"/>
        <v>2.2699386503068464</v>
      </c>
    </row>
    <row r="457" spans="10:14" x14ac:dyDescent="0.2">
      <c r="J457" s="58">
        <f t="shared" si="34"/>
        <v>1.4625690053922287</v>
      </c>
      <c r="K457" s="58">
        <f t="shared" si="35"/>
        <v>3.2469836618615262</v>
      </c>
      <c r="L457" s="58">
        <f t="shared" si="36"/>
        <v>6.1353619457601711</v>
      </c>
      <c r="M457" s="2">
        <f t="shared" si="38"/>
        <v>81.599999999999341</v>
      </c>
      <c r="N457" s="58">
        <f t="shared" si="37"/>
        <v>2.2549019607844123</v>
      </c>
    </row>
    <row r="458" spans="10:14" x14ac:dyDescent="0.2">
      <c r="J458" s="58">
        <f t="shared" si="34"/>
        <v>1.4694007594997636</v>
      </c>
      <c r="K458" s="58">
        <f t="shared" si="35"/>
        <v>3.2566172612631146</v>
      </c>
      <c r="L458" s="58">
        <f t="shared" si="36"/>
        <v>6.1473010918764066</v>
      </c>
      <c r="M458" s="2">
        <f t="shared" si="38"/>
        <v>81.699999999999335</v>
      </c>
      <c r="N458" s="58">
        <f t="shared" si="37"/>
        <v>2.2399020807834535</v>
      </c>
    </row>
    <row r="459" spans="10:14" x14ac:dyDescent="0.2">
      <c r="J459" s="58">
        <f t="shared" si="34"/>
        <v>1.4762526587324862</v>
      </c>
      <c r="K459" s="58">
        <f t="shared" si="35"/>
        <v>3.2662627264283541</v>
      </c>
      <c r="L459" s="58">
        <f t="shared" si="36"/>
        <v>6.159241029378844</v>
      </c>
      <c r="M459" s="2">
        <f t="shared" si="38"/>
        <v>81.799999999999329</v>
      </c>
      <c r="N459" s="58">
        <f t="shared" si="37"/>
        <v>2.2249388753057229</v>
      </c>
    </row>
    <row r="460" spans="10:14" x14ac:dyDescent="0.2">
      <c r="J460" s="58">
        <f t="shared" si="34"/>
        <v>1.4831247627920514</v>
      </c>
      <c r="K460" s="58">
        <f t="shared" si="35"/>
        <v>3.2759200651859008</v>
      </c>
      <c r="L460" s="58">
        <f t="shared" si="36"/>
        <v>6.1711817516789624</v>
      </c>
      <c r="M460" s="2">
        <f t="shared" si="38"/>
        <v>81.899999999999324</v>
      </c>
      <c r="N460" s="58">
        <f t="shared" si="37"/>
        <v>2.2100122100123105</v>
      </c>
    </row>
    <row r="461" spans="10:14" x14ac:dyDescent="0.2">
      <c r="J461" s="58">
        <f t="shared" si="34"/>
        <v>1.4900171317344864</v>
      </c>
      <c r="K461" s="58">
        <f t="shared" si="35"/>
        <v>3.2855892854253099</v>
      </c>
      <c r="L461" s="58">
        <f t="shared" si="36"/>
        <v>6.18312325222099</v>
      </c>
      <c r="M461" s="2">
        <f t="shared" si="38"/>
        <v>81.999999999999318</v>
      </c>
      <c r="N461" s="58">
        <f t="shared" si="37"/>
        <v>2.1951219512196136</v>
      </c>
    </row>
    <row r="462" spans="10:14" x14ac:dyDescent="0.2">
      <c r="J462" s="58">
        <f t="shared" si="34"/>
        <v>1.4969298259719368</v>
      </c>
      <c r="K462" s="58">
        <f t="shared" si="35"/>
        <v>3.2952703950969067</v>
      </c>
      <c r="L462" s="58">
        <f t="shared" si="36"/>
        <v>6.1950655244816986</v>
      </c>
      <c r="M462" s="2">
        <f t="shared" si="38"/>
        <v>82.099999999999312</v>
      </c>
      <c r="N462" s="58">
        <f t="shared" si="37"/>
        <v>2.1802679658953519</v>
      </c>
    </row>
    <row r="463" spans="10:14" x14ac:dyDescent="0.2">
      <c r="J463" s="58">
        <f t="shared" si="34"/>
        <v>1.5038629062744331</v>
      </c>
      <c r="K463" s="58">
        <f t="shared" si="35"/>
        <v>3.3049634022116514</v>
      </c>
      <c r="L463" s="58">
        <f t="shared" si="36"/>
        <v>6.2070085619702091</v>
      </c>
      <c r="M463" s="2">
        <f t="shared" si="38"/>
        <v>82.199999999999307</v>
      </c>
      <c r="N463" s="58">
        <f t="shared" si="37"/>
        <v>2.1654501216546045</v>
      </c>
    </row>
    <row r="464" spans="10:14" x14ac:dyDescent="0.2">
      <c r="J464" s="58">
        <f t="shared" si="34"/>
        <v>1.5108164337716705</v>
      </c>
      <c r="K464" s="58">
        <f t="shared" si="35"/>
        <v>3.314668314841017</v>
      </c>
      <c r="L464" s="58">
        <f t="shared" si="36"/>
        <v>6.2189523582277895</v>
      </c>
      <c r="M464" s="2">
        <f t="shared" si="38"/>
        <v>82.299999999999301</v>
      </c>
      <c r="N464" s="58">
        <f t="shared" si="37"/>
        <v>2.1506682867558755</v>
      </c>
    </row>
    <row r="465" spans="10:14" x14ac:dyDescent="0.2">
      <c r="J465" s="58">
        <f t="shared" si="34"/>
        <v>1.5177904699548073</v>
      </c>
      <c r="K465" s="58">
        <f t="shared" si="35"/>
        <v>3.3243851411168555</v>
      </c>
      <c r="L465" s="58">
        <f t="shared" si="36"/>
        <v>6.2308969068276623</v>
      </c>
      <c r="M465" s="2">
        <f t="shared" si="38"/>
        <v>82.399999999999295</v>
      </c>
      <c r="N465" s="58">
        <f t="shared" si="37"/>
        <v>2.1359223300971912</v>
      </c>
    </row>
    <row r="466" spans="10:14" x14ac:dyDescent="0.2">
      <c r="J466" s="58">
        <f t="shared" si="34"/>
        <v>1.5247850766782731</v>
      </c>
      <c r="K466" s="58">
        <f t="shared" si="35"/>
        <v>3.3341138892312792</v>
      </c>
      <c r="L466" s="58">
        <f t="shared" si="36"/>
        <v>6.2428422013748133</v>
      </c>
      <c r="M466" s="2">
        <f t="shared" si="38"/>
        <v>82.499999999999289</v>
      </c>
      <c r="N466" s="58">
        <f t="shared" si="37"/>
        <v>2.1212121212122259</v>
      </c>
    </row>
    <row r="467" spans="10:14" x14ac:dyDescent="0.2">
      <c r="J467" s="58">
        <f t="shared" si="34"/>
        <v>1.5318003161616043</v>
      </c>
      <c r="K467" s="58">
        <f t="shared" si="35"/>
        <v>3.3438545674365354</v>
      </c>
      <c r="L467" s="58">
        <f t="shared" si="36"/>
        <v>6.2547882355057984</v>
      </c>
      <c r="M467" s="2">
        <f t="shared" si="38"/>
        <v>82.599999999999284</v>
      </c>
      <c r="N467" s="58">
        <f t="shared" si="37"/>
        <v>2.1065375302664489</v>
      </c>
    </row>
    <row r="468" spans="10:14" x14ac:dyDescent="0.2">
      <c r="J468" s="58">
        <f t="shared" si="34"/>
        <v>1.5388362509912823</v>
      </c>
      <c r="K468" s="58">
        <f t="shared" si="35"/>
        <v>3.3536071840448813</v>
      </c>
      <c r="L468" s="58">
        <f t="shared" si="36"/>
        <v>6.2667350028885442</v>
      </c>
      <c r="M468" s="2">
        <f t="shared" si="38"/>
        <v>82.699999999999278</v>
      </c>
      <c r="N468" s="58">
        <f t="shared" si="37"/>
        <v>2.0918984280533106</v>
      </c>
    </row>
    <row r="469" spans="10:14" x14ac:dyDescent="0.2">
      <c r="J469" s="58">
        <f t="shared" si="34"/>
        <v>1.5458929441226004</v>
      </c>
      <c r="K469" s="58">
        <f t="shared" si="35"/>
        <v>3.3633717474284714</v>
      </c>
      <c r="L469" s="58">
        <f t="shared" si="36"/>
        <v>6.278682497222178</v>
      </c>
      <c r="M469" s="2">
        <f t="shared" si="38"/>
        <v>82.799999999999272</v>
      </c>
      <c r="N469" s="58">
        <f t="shared" si="37"/>
        <v>2.0772946859904451</v>
      </c>
    </row>
    <row r="470" spans="10:14" x14ac:dyDescent="0.2">
      <c r="J470" s="58">
        <f t="shared" si="34"/>
        <v>1.5529704588815363</v>
      </c>
      <c r="K470" s="58">
        <f t="shared" si="35"/>
        <v>3.373148266019232</v>
      </c>
      <c r="L470" s="58">
        <f t="shared" si="36"/>
        <v>6.2906307122368146</v>
      </c>
      <c r="M470" s="2">
        <f t="shared" si="38"/>
        <v>82.899999999999267</v>
      </c>
      <c r="N470" s="58">
        <f t="shared" si="37"/>
        <v>2.062726176115909</v>
      </c>
    </row>
    <row r="471" spans="10:14" x14ac:dyDescent="0.2">
      <c r="J471" s="58">
        <f t="shared" si="34"/>
        <v>1.56006885896665</v>
      </c>
      <c r="K471" s="58">
        <f t="shared" si="35"/>
        <v>3.3829367483087456</v>
      </c>
      <c r="L471" s="58">
        <f t="shared" si="36"/>
        <v>6.3025796416933915</v>
      </c>
      <c r="M471" s="2">
        <f t="shared" si="38"/>
        <v>82.999999999999261</v>
      </c>
      <c r="N471" s="58">
        <f t="shared" si="37"/>
        <v>2.0481927710844445</v>
      </c>
    </row>
    <row r="472" spans="10:14" x14ac:dyDescent="0.2">
      <c r="J472" s="58">
        <f t="shared" si="34"/>
        <v>1.5671882084509918</v>
      </c>
      <c r="K472" s="58">
        <f t="shared" si="35"/>
        <v>3.392737202848136</v>
      </c>
      <c r="L472" s="58">
        <f t="shared" si="36"/>
        <v>6.3145292793834651</v>
      </c>
      <c r="M472" s="2">
        <f t="shared" si="38"/>
        <v>83.099999999999255</v>
      </c>
      <c r="N472" s="58">
        <f t="shared" si="37"/>
        <v>2.0336943441637665</v>
      </c>
    </row>
    <row r="473" spans="10:14" x14ac:dyDescent="0.2">
      <c r="J473" s="58">
        <f t="shared" ref="J473:J536" si="39">IF(B$5&gt;0.2*($N473),(B$5-0.2*($N473))^2/(B$5+0.8*($N473)),0)</f>
        <v>1.5743285717840336</v>
      </c>
      <c r="K473" s="58">
        <f t="shared" ref="K473:K536" si="40">IF(C$5&gt;0.2*($N473),(C$5-0.2*($N473))^2/(C$5+0.8*($N473)),0)</f>
        <v>3.4025496382479576</v>
      </c>
      <c r="L473" s="58">
        <f t="shared" ref="L473:L536" si="41">IF(D$5&gt;0.2*($N473),(D$5-0.2*($N473))^2/(D$5+0.8*($N473)),0)</f>
        <v>6.3264796191290422</v>
      </c>
      <c r="M473" s="2">
        <f t="shared" si="38"/>
        <v>83.19999999999925</v>
      </c>
      <c r="N473" s="58">
        <f t="shared" si="37"/>
        <v>2.0192307692308784</v>
      </c>
    </row>
    <row r="474" spans="10:14" x14ac:dyDescent="0.2">
      <c r="J474" s="58">
        <f t="shared" si="39"/>
        <v>1.5814900137936105</v>
      </c>
      <c r="K474" s="58">
        <f t="shared" si="40"/>
        <v>3.4123740631780786</v>
      </c>
      <c r="L474" s="58">
        <f t="shared" si="41"/>
        <v>6.3384306547823872</v>
      </c>
      <c r="M474" s="2">
        <f t="shared" si="38"/>
        <v>83.299999999999244</v>
      </c>
      <c r="N474" s="58">
        <f t="shared" si="37"/>
        <v>2.0048019207684167</v>
      </c>
    </row>
    <row r="475" spans="10:14" x14ac:dyDescent="0.2">
      <c r="J475" s="58">
        <f t="shared" si="39"/>
        <v>1.5886725996878825</v>
      </c>
      <c r="K475" s="58">
        <f t="shared" si="40"/>
        <v>3.4222104863675713</v>
      </c>
      <c r="L475" s="58">
        <f t="shared" si="41"/>
        <v>6.3503823802258452</v>
      </c>
      <c r="M475" s="2">
        <f t="shared" si="38"/>
        <v>83.399999999999238</v>
      </c>
      <c r="N475" s="58">
        <f t="shared" si="37"/>
        <v>1.9904076738610215</v>
      </c>
    </row>
    <row r="476" spans="10:14" x14ac:dyDescent="0.2">
      <c r="J476" s="58">
        <f t="shared" si="39"/>
        <v>1.5958763950573145</v>
      </c>
      <c r="K476" s="58">
        <f t="shared" si="40"/>
        <v>3.4320589166046047</v>
      </c>
      <c r="L476" s="58">
        <f t="shared" si="41"/>
        <v>6.3623347893716584</v>
      </c>
      <c r="M476" s="2">
        <f t="shared" si="38"/>
        <v>83.499999999999233</v>
      </c>
      <c r="N476" s="58">
        <f t="shared" si="37"/>
        <v>1.9760479041917272</v>
      </c>
    </row>
    <row r="477" spans="10:14" x14ac:dyDescent="0.2">
      <c r="J477" s="58">
        <f t="shared" si="39"/>
        <v>1.6031014658766713</v>
      </c>
      <c r="K477" s="58">
        <f t="shared" si="40"/>
        <v>3.4419193627363329</v>
      </c>
      <c r="L477" s="58">
        <f t="shared" si="41"/>
        <v>6.37428787616179</v>
      </c>
      <c r="M477" s="2">
        <f t="shared" si="38"/>
        <v>83.599999999999227</v>
      </c>
      <c r="N477" s="58">
        <f t="shared" si="37"/>
        <v>1.9617224880383883</v>
      </c>
    </row>
    <row r="478" spans="10:14" x14ac:dyDescent="0.2">
      <c r="J478" s="58">
        <f t="shared" si="39"/>
        <v>1.6103478785070322</v>
      </c>
      <c r="K478" s="58">
        <f t="shared" si="40"/>
        <v>3.4517918336687905</v>
      </c>
      <c r="L478" s="58">
        <f t="shared" si="41"/>
        <v>6.3862416345677424</v>
      </c>
      <c r="M478" s="2">
        <f t="shared" si="38"/>
        <v>83.699999999999221</v>
      </c>
      <c r="N478" s="58">
        <f t="shared" si="37"/>
        <v>1.9474313022701235</v>
      </c>
    </row>
    <row r="479" spans="10:14" x14ac:dyDescent="0.2">
      <c r="J479" s="58">
        <f t="shared" si="39"/>
        <v>1.6176156996978208</v>
      </c>
      <c r="K479" s="58">
        <f t="shared" si="40"/>
        <v>3.4616763383667917</v>
      </c>
      <c r="L479" s="58">
        <f t="shared" si="41"/>
        <v>6.3981960585903899</v>
      </c>
      <c r="M479" s="2">
        <f t="shared" si="38"/>
        <v>83.799999999999216</v>
      </c>
      <c r="N479" s="58">
        <f t="shared" si="37"/>
        <v>1.9331742243437873</v>
      </c>
    </row>
    <row r="480" spans="10:14" x14ac:dyDescent="0.2">
      <c r="J480" s="58">
        <f t="shared" si="39"/>
        <v>1.6249049965888542</v>
      </c>
      <c r="K480" s="58">
        <f t="shared" si="40"/>
        <v>3.4715728858538197</v>
      </c>
      <c r="L480" s="58">
        <f t="shared" si="41"/>
        <v>6.4101511422597932</v>
      </c>
      <c r="M480" s="2">
        <f t="shared" si="38"/>
        <v>83.89999999999921</v>
      </c>
      <c r="N480" s="58">
        <f t="shared" si="37"/>
        <v>1.9189511323004691</v>
      </c>
    </row>
    <row r="481" spans="10:14" x14ac:dyDescent="0.2">
      <c r="J481" s="58">
        <f t="shared" si="39"/>
        <v>1.6322158367124091</v>
      </c>
      <c r="K481" s="58">
        <f t="shared" si="40"/>
        <v>3.4814814852119293</v>
      </c>
      <c r="L481" s="58">
        <f t="shared" si="41"/>
        <v>6.4221068796350256</v>
      </c>
      <c r="M481" s="2">
        <f t="shared" si="38"/>
        <v>83.999999999999204</v>
      </c>
      <c r="N481" s="58">
        <f t="shared" si="37"/>
        <v>1.904761904762017</v>
      </c>
    </row>
    <row r="482" spans="10:14" x14ac:dyDescent="0.2">
      <c r="J482" s="58">
        <f t="shared" si="39"/>
        <v>1.6395482879953065</v>
      </c>
      <c r="K482" s="58">
        <f t="shared" si="40"/>
        <v>3.4914021455816471</v>
      </c>
      <c r="L482" s="58">
        <f t="shared" si="41"/>
        <v>6.4340632648040161</v>
      </c>
      <c r="M482" s="2">
        <f t="shared" si="38"/>
        <v>84.099999999999199</v>
      </c>
      <c r="N482" s="58">
        <f t="shared" si="37"/>
        <v>1.8906064209275808</v>
      </c>
    </row>
    <row r="483" spans="10:14" x14ac:dyDescent="0.2">
      <c r="J483" s="58">
        <f t="shared" si="39"/>
        <v>1.6469024187610148</v>
      </c>
      <c r="K483" s="58">
        <f t="shared" si="40"/>
        <v>3.5013348761618679</v>
      </c>
      <c r="L483" s="58">
        <f t="shared" si="41"/>
        <v>6.4460202918833565</v>
      </c>
      <c r="M483" s="2">
        <f t="shared" si="38"/>
        <v>84.199999999999193</v>
      </c>
      <c r="N483" s="58">
        <f t="shared" si="37"/>
        <v>1.8764845605701854</v>
      </c>
    </row>
    <row r="484" spans="10:14" x14ac:dyDescent="0.2">
      <c r="J484" s="58">
        <f t="shared" si="39"/>
        <v>1.6542782977317694</v>
      </c>
      <c r="K484" s="58">
        <f t="shared" si="40"/>
        <v>3.5112796862097646</v>
      </c>
      <c r="L484" s="58">
        <f t="shared" si="41"/>
        <v>6.4579779550181478</v>
      </c>
      <c r="M484" s="2">
        <f t="shared" si="38"/>
        <v>84.299999999999187</v>
      </c>
      <c r="N484" s="58">
        <f t="shared" si="37"/>
        <v>1.8623962040333293</v>
      </c>
    </row>
    <row r="485" spans="10:14" x14ac:dyDescent="0.2">
      <c r="J485" s="58">
        <f t="shared" si="39"/>
        <v>1.6616759940307111</v>
      </c>
      <c r="K485" s="58">
        <f t="shared" si="40"/>
        <v>3.5212365850406795</v>
      </c>
      <c r="L485" s="58">
        <f t="shared" si="41"/>
        <v>6.4699362483818161</v>
      </c>
      <c r="M485" s="2">
        <f t="shared" si="38"/>
        <v>84.399999999999181</v>
      </c>
      <c r="N485" s="58">
        <f t="shared" si="37"/>
        <v>1.8483412322276038</v>
      </c>
    </row>
    <row r="486" spans="10:14" x14ac:dyDescent="0.2">
      <c r="J486" s="58">
        <f t="shared" si="39"/>
        <v>1.6690955771840468</v>
      </c>
      <c r="K486" s="58">
        <f t="shared" si="40"/>
        <v>3.5312055820280466</v>
      </c>
      <c r="L486" s="58">
        <f t="shared" si="41"/>
        <v>6.4818951661759652</v>
      </c>
      <c r="M486" s="2">
        <f t="shared" si="38"/>
        <v>84.499999999999176</v>
      </c>
      <c r="N486" s="58">
        <f t="shared" si="37"/>
        <v>1.8343195266273344</v>
      </c>
    </row>
    <row r="487" spans="10:14" x14ac:dyDescent="0.2">
      <c r="J487" s="58">
        <f t="shared" si="39"/>
        <v>1.6765371171232206</v>
      </c>
      <c r="K487" s="58">
        <f t="shared" si="40"/>
        <v>3.5411866866032815</v>
      </c>
      <c r="L487" s="58">
        <f t="shared" si="41"/>
        <v>6.4938547026301867</v>
      </c>
      <c r="M487" s="2">
        <f t="shared" si="38"/>
        <v>84.59999999999917</v>
      </c>
      <c r="N487" s="58">
        <f t="shared" si="37"/>
        <v>1.8203309692672551</v>
      </c>
    </row>
    <row r="488" spans="10:14" x14ac:dyDescent="0.2">
      <c r="J488" s="58">
        <f t="shared" si="39"/>
        <v>1.6840006841871129</v>
      </c>
      <c r="K488" s="58">
        <f t="shared" si="40"/>
        <v>3.5511799082557003</v>
      </c>
      <c r="L488" s="58">
        <f t="shared" si="41"/>
        <v>6.5058148520019108</v>
      </c>
      <c r="M488" s="2">
        <f t="shared" si="38"/>
        <v>84.699999999999164</v>
      </c>
      <c r="N488" s="58">
        <f t="shared" si="37"/>
        <v>1.8063754427391956</v>
      </c>
    </row>
    <row r="489" spans="10:14" x14ac:dyDescent="0.2">
      <c r="J489" s="58">
        <f t="shared" si="39"/>
        <v>1.6914863491242536</v>
      </c>
      <c r="K489" s="58">
        <f t="shared" si="40"/>
        <v>3.5611852565324251</v>
      </c>
      <c r="L489" s="58">
        <f t="shared" si="41"/>
        <v>6.5177756085762413</v>
      </c>
      <c r="M489" s="2">
        <f t="shared" si="38"/>
        <v>84.799999999999159</v>
      </c>
      <c r="N489" s="58">
        <f t="shared" ref="N489:N552" si="42">IF(M489&gt;0,1000/M489-10,1000)</f>
        <v>1.7924528301887968</v>
      </c>
    </row>
    <row r="490" spans="10:14" x14ac:dyDescent="0.2">
      <c r="J490" s="58">
        <f t="shared" si="39"/>
        <v>1.6989941830950543</v>
      </c>
      <c r="K490" s="58">
        <f t="shared" si="40"/>
        <v>3.5712027410382952</v>
      </c>
      <c r="L490" s="58">
        <f t="shared" si="41"/>
        <v>6.5297369666657827</v>
      </c>
      <c r="M490" s="2">
        <f t="shared" si="38"/>
        <v>84.899999999999153</v>
      </c>
      <c r="N490" s="58">
        <f t="shared" si="42"/>
        <v>1.7785630153122494</v>
      </c>
    </row>
    <row r="491" spans="10:14" x14ac:dyDescent="0.2">
      <c r="J491" s="58">
        <f t="shared" si="39"/>
        <v>1.7065242576740571</v>
      </c>
      <c r="K491" s="58">
        <f t="shared" si="40"/>
        <v>3.5812323714357794</v>
      </c>
      <c r="L491" s="58">
        <f t="shared" si="41"/>
        <v>6.5416989206104876</v>
      </c>
      <c r="M491" s="2">
        <f t="shared" si="38"/>
        <v>84.999999999999147</v>
      </c>
      <c r="N491" s="58">
        <f t="shared" si="42"/>
        <v>1.7647058823530593</v>
      </c>
    </row>
    <row r="492" spans="10:14" x14ac:dyDescent="0.2">
      <c r="J492" s="58">
        <f t="shared" si="39"/>
        <v>1.7140766448522129</v>
      </c>
      <c r="K492" s="58">
        <f t="shared" si="40"/>
        <v>3.5912741574448881</v>
      </c>
      <c r="L492" s="58">
        <f t="shared" si="41"/>
        <v>6.5536614647774885</v>
      </c>
      <c r="M492" s="2">
        <f t="shared" si="38"/>
        <v>85.099999999999142</v>
      </c>
      <c r="N492" s="58">
        <f t="shared" si="42"/>
        <v>1.7508813160988268</v>
      </c>
    </row>
    <row r="493" spans="10:14" x14ac:dyDescent="0.2">
      <c r="J493" s="58">
        <f t="shared" si="39"/>
        <v>1.7216514170391684</v>
      </c>
      <c r="K493" s="58">
        <f t="shared" si="40"/>
        <v>3.601328108843092</v>
      </c>
      <c r="L493" s="58">
        <f t="shared" si="41"/>
        <v>6.5656245935609476</v>
      </c>
      <c r="M493" s="2">
        <f t="shared" si="38"/>
        <v>85.199999999999136</v>
      </c>
      <c r="N493" s="58">
        <f t="shared" si="42"/>
        <v>1.737089201878053</v>
      </c>
    </row>
    <row r="494" spans="10:14" x14ac:dyDescent="0.2">
      <c r="J494" s="58">
        <f t="shared" si="39"/>
        <v>1.7292486470655735</v>
      </c>
      <c r="K494" s="58">
        <f t="shared" si="40"/>
        <v>3.611394235465232</v>
      </c>
      <c r="L494" s="58">
        <f t="shared" si="41"/>
        <v>6.5775883013818879</v>
      </c>
      <c r="M494" s="2">
        <f t="shared" si="38"/>
        <v>85.29999999999913</v>
      </c>
      <c r="N494" s="58">
        <f t="shared" si="42"/>
        <v>1.7233294255569778</v>
      </c>
    </row>
    <row r="495" spans="10:14" x14ac:dyDescent="0.2">
      <c r="J495" s="58">
        <f t="shared" si="39"/>
        <v>1.7368684081854193</v>
      </c>
      <c r="K495" s="58">
        <f t="shared" si="40"/>
        <v>3.6214725472034437</v>
      </c>
      <c r="L495" s="58">
        <f t="shared" si="41"/>
        <v>6.5895525826880448</v>
      </c>
      <c r="M495" s="2">
        <f t="shared" si="38"/>
        <v>85.399999999999125</v>
      </c>
      <c r="N495" s="58">
        <f t="shared" si="42"/>
        <v>1.7096018735364193</v>
      </c>
    </row>
    <row r="496" spans="10:14" x14ac:dyDescent="0.2">
      <c r="J496" s="58">
        <f t="shared" si="39"/>
        <v>1.7445107740783821</v>
      </c>
      <c r="K496" s="58">
        <f t="shared" si="40"/>
        <v>3.6315630540070702</v>
      </c>
      <c r="L496" s="58">
        <f t="shared" si="41"/>
        <v>6.6015174319536998</v>
      </c>
      <c r="M496" s="2">
        <f t="shared" si="38"/>
        <v>85.499999999999119</v>
      </c>
      <c r="N496" s="58">
        <f t="shared" si="42"/>
        <v>1.695906432748659</v>
      </c>
    </row>
    <row r="497" spans="10:14" x14ac:dyDescent="0.2">
      <c r="J497" s="58">
        <f t="shared" si="39"/>
        <v>1.7521758188521968</v>
      </c>
      <c r="K497" s="58">
        <f t="shared" si="40"/>
        <v>3.6416657658825873</v>
      </c>
      <c r="L497" s="58">
        <f t="shared" si="41"/>
        <v>6.613482843679539</v>
      </c>
      <c r="M497" s="2">
        <f t="shared" ref="M497:M560" si="43">M496+0.1</f>
        <v>85.599999999999113</v>
      </c>
      <c r="N497" s="58">
        <f t="shared" si="42"/>
        <v>1.682242990654327</v>
      </c>
    </row>
    <row r="498" spans="10:14" x14ac:dyDescent="0.2">
      <c r="J498" s="58">
        <f t="shared" si="39"/>
        <v>1.7598636170450486</v>
      </c>
      <c r="K498" s="58">
        <f t="shared" si="40"/>
        <v>3.651780692893523</v>
      </c>
      <c r="L498" s="58">
        <f t="shared" si="41"/>
        <v>6.6254488123924844</v>
      </c>
      <c r="M498" s="2">
        <f t="shared" si="43"/>
        <v>85.699999999999108</v>
      </c>
      <c r="N498" s="58">
        <f t="shared" si="42"/>
        <v>1.6686114352393275</v>
      </c>
    </row>
    <row r="499" spans="10:14" x14ac:dyDescent="0.2">
      <c r="J499" s="58">
        <f t="shared" si="39"/>
        <v>1.7675742436279795</v>
      </c>
      <c r="K499" s="58">
        <f t="shared" si="40"/>
        <v>3.6619078451603775</v>
      </c>
      <c r="L499" s="58">
        <f t="shared" si="41"/>
        <v>6.6374153326455509</v>
      </c>
      <c r="M499" s="2">
        <f t="shared" si="43"/>
        <v>85.799999999999102</v>
      </c>
      <c r="N499" s="58">
        <f t="shared" si="42"/>
        <v>1.6550116550117764</v>
      </c>
    </row>
    <row r="500" spans="10:14" x14ac:dyDescent="0.2">
      <c r="J500" s="58">
        <f t="shared" si="39"/>
        <v>1.7753077740073264</v>
      </c>
      <c r="K500" s="58">
        <f t="shared" si="40"/>
        <v>3.67204723286055</v>
      </c>
      <c r="L500" s="58">
        <f t="shared" si="41"/>
        <v>6.649382399017691</v>
      </c>
      <c r="M500" s="2">
        <f t="shared" si="43"/>
        <v>85.899999999999096</v>
      </c>
      <c r="N500" s="58">
        <f t="shared" si="42"/>
        <v>1.6414435389989581</v>
      </c>
    </row>
    <row r="501" spans="10:14" x14ac:dyDescent="0.2">
      <c r="J501" s="58">
        <f t="shared" si="39"/>
        <v>1.7830642840271707</v>
      </c>
      <c r="K501" s="58">
        <f t="shared" si="40"/>
        <v>3.6821988662282665</v>
      </c>
      <c r="L501" s="58">
        <f t="shared" si="41"/>
        <v>6.6613500061136417</v>
      </c>
      <c r="M501" s="2">
        <f t="shared" si="43"/>
        <v>85.999999999999091</v>
      </c>
      <c r="N501" s="58">
        <f t="shared" si="42"/>
        <v>1.6279069767443097</v>
      </c>
    </row>
    <row r="502" spans="10:14" x14ac:dyDescent="0.2">
      <c r="J502" s="58">
        <f t="shared" si="39"/>
        <v>1.790843849971812</v>
      </c>
      <c r="K502" s="58">
        <f t="shared" si="40"/>
        <v>3.6923627555545031</v>
      </c>
      <c r="L502" s="58">
        <f t="shared" si="41"/>
        <v>6.6733181485637809</v>
      </c>
      <c r="M502" s="2">
        <f t="shared" si="43"/>
        <v>86.099999999999085</v>
      </c>
      <c r="N502" s="58">
        <f t="shared" si="42"/>
        <v>1.6144018583044204</v>
      </c>
    </row>
    <row r="503" spans="10:14" x14ac:dyDescent="0.2">
      <c r="J503" s="58">
        <f t="shared" si="39"/>
        <v>1.7986465485682612</v>
      </c>
      <c r="K503" s="58">
        <f t="shared" si="40"/>
        <v>3.7025389111869109</v>
      </c>
      <c r="L503" s="58">
        <f t="shared" si="41"/>
        <v>6.6852868210239711</v>
      </c>
      <c r="M503" s="2">
        <f t="shared" si="43"/>
        <v>86.199999999999079</v>
      </c>
      <c r="N503" s="58">
        <f t="shared" si="42"/>
        <v>1.6009280742460632</v>
      </c>
    </row>
    <row r="504" spans="10:14" x14ac:dyDescent="0.2">
      <c r="J504" s="58">
        <f t="shared" si="39"/>
        <v>1.8064724569887607</v>
      </c>
      <c r="K504" s="58">
        <f t="shared" si="40"/>
        <v>3.7127273435297528</v>
      </c>
      <c r="L504" s="58">
        <f t="shared" si="41"/>
        <v>6.6972560181754099</v>
      </c>
      <c r="M504" s="2">
        <f t="shared" si="43"/>
        <v>86.299999999999073</v>
      </c>
      <c r="N504" s="58">
        <f t="shared" si="42"/>
        <v>1.5874855156432304</v>
      </c>
    </row>
    <row r="505" spans="10:14" x14ac:dyDescent="0.2">
      <c r="J505" s="58">
        <f t="shared" si="39"/>
        <v>1.814321652853319</v>
      </c>
      <c r="K505" s="58">
        <f t="shared" si="40"/>
        <v>3.7229280630438297</v>
      </c>
      <c r="L505" s="58">
        <f t="shared" si="41"/>
        <v>6.7092257347245035</v>
      </c>
      <c r="M505" s="2">
        <f t="shared" si="43"/>
        <v>86.399999999999068</v>
      </c>
      <c r="N505" s="58">
        <f t="shared" si="42"/>
        <v>1.5740740740741987</v>
      </c>
    </row>
    <row r="506" spans="10:14" x14ac:dyDescent="0.2">
      <c r="J506" s="58">
        <f t="shared" si="39"/>
        <v>1.8221942142322698</v>
      </c>
      <c r="K506" s="58">
        <f t="shared" si="40"/>
        <v>3.7331410802464102</v>
      </c>
      <c r="L506" s="58">
        <f t="shared" si="41"/>
        <v>6.7211959654026936</v>
      </c>
      <c r="M506" s="2">
        <f t="shared" si="43"/>
        <v>86.499999999999062</v>
      </c>
      <c r="N506" s="58">
        <f t="shared" si="42"/>
        <v>1.5606936416186219</v>
      </c>
    </row>
    <row r="507" spans="10:14" x14ac:dyDescent="0.2">
      <c r="J507" s="58">
        <f t="shared" si="39"/>
        <v>1.8300902196488529</v>
      </c>
      <c r="K507" s="58">
        <f t="shared" si="40"/>
        <v>3.7433664057111651</v>
      </c>
      <c r="L507" s="58">
        <f t="shared" si="41"/>
        <v>6.7331667049663224</v>
      </c>
      <c r="M507" s="2">
        <f t="shared" si="43"/>
        <v>86.599999999999056</v>
      </c>
      <c r="N507" s="58">
        <f t="shared" si="42"/>
        <v>1.5473441108546293</v>
      </c>
    </row>
    <row r="508" spans="10:14" x14ac:dyDescent="0.2">
      <c r="J508" s="58">
        <f t="shared" si="39"/>
        <v>1.8380097480818209</v>
      </c>
      <c r="K508" s="58">
        <f t="shared" si="40"/>
        <v>3.7536040500681072</v>
      </c>
      <c r="L508" s="58">
        <f t="shared" si="41"/>
        <v>6.7451379481965024</v>
      </c>
      <c r="M508" s="2">
        <f t="shared" si="43"/>
        <v>86.699999999999051</v>
      </c>
      <c r="N508" s="58">
        <f t="shared" si="42"/>
        <v>1.5340253748559505</v>
      </c>
    </row>
    <row r="509" spans="10:14" x14ac:dyDescent="0.2">
      <c r="J509" s="58">
        <f t="shared" si="39"/>
        <v>1.8459528789680573</v>
      </c>
      <c r="K509" s="58">
        <f t="shared" si="40"/>
        <v>3.7638540240035154</v>
      </c>
      <c r="L509" s="58">
        <f t="shared" si="41"/>
        <v>6.7571096898989564</v>
      </c>
      <c r="M509" s="2">
        <f t="shared" si="43"/>
        <v>86.799999999999045</v>
      </c>
      <c r="N509" s="58">
        <f t="shared" si="42"/>
        <v>1.5207373271890674</v>
      </c>
    </row>
    <row r="510" spans="10:14" x14ac:dyDescent="0.2">
      <c r="J510" s="58">
        <f t="shared" si="39"/>
        <v>1.8539196922052306</v>
      </c>
      <c r="K510" s="58">
        <f t="shared" si="40"/>
        <v>3.7741163382598826</v>
      </c>
      <c r="L510" s="58">
        <f t="shared" si="41"/>
        <v>6.7690819249038796</v>
      </c>
      <c r="M510" s="2">
        <f t="shared" si="43"/>
        <v>86.899999999999039</v>
      </c>
      <c r="N510" s="58">
        <f t="shared" si="42"/>
        <v>1.5074798619103689</v>
      </c>
    </row>
    <row r="511" spans="10:14" x14ac:dyDescent="0.2">
      <c r="J511" s="58">
        <f t="shared" si="39"/>
        <v>1.861910268154461</v>
      </c>
      <c r="K511" s="58">
        <f t="shared" si="40"/>
        <v>3.7843910036358444</v>
      </c>
      <c r="L511" s="58">
        <f t="shared" si="41"/>
        <v>6.7810546480658083</v>
      </c>
      <c r="M511" s="2">
        <f t="shared" si="43"/>
        <v>86.999999999999034</v>
      </c>
      <c r="N511" s="58">
        <f t="shared" si="42"/>
        <v>1.4942528735633456</v>
      </c>
    </row>
    <row r="512" spans="10:14" x14ac:dyDescent="0.2">
      <c r="J512" s="58">
        <f t="shared" si="39"/>
        <v>1.8699246876430129</v>
      </c>
      <c r="K512" s="58">
        <f t="shared" si="40"/>
        <v>3.794678030986125</v>
      </c>
      <c r="L512" s="58">
        <f t="shared" si="41"/>
        <v>6.793027854263463</v>
      </c>
      <c r="M512" s="2">
        <f t="shared" si="43"/>
        <v>87.099999999999028</v>
      </c>
      <c r="N512" s="58">
        <f t="shared" si="42"/>
        <v>1.4810562571757888</v>
      </c>
    </row>
    <row r="513" spans="10:14" x14ac:dyDescent="0.2">
      <c r="J513" s="58">
        <f t="shared" si="39"/>
        <v>1.8779630319670122</v>
      </c>
      <c r="K513" s="58">
        <f t="shared" si="40"/>
        <v>3.8049774312214737</v>
      </c>
      <c r="L513" s="58">
        <f t="shared" si="41"/>
        <v>6.8050015383996341</v>
      </c>
      <c r="M513" s="2">
        <f t="shared" si="43"/>
        <v>87.199999999999022</v>
      </c>
      <c r="N513" s="58">
        <f t="shared" si="42"/>
        <v>1.4678899082570087</v>
      </c>
    </row>
    <row r="514" spans="10:14" x14ac:dyDescent="0.2">
      <c r="J514" s="58">
        <f t="shared" si="39"/>
        <v>1.8860253828941835</v>
      </c>
      <c r="K514" s="58">
        <f t="shared" si="40"/>
        <v>3.8152892153086051</v>
      </c>
      <c r="L514" s="58">
        <f t="shared" si="41"/>
        <v>6.8169756954010099</v>
      </c>
      <c r="M514" s="2">
        <f t="shared" si="43"/>
        <v>87.299999999999017</v>
      </c>
      <c r="N514" s="58">
        <f t="shared" si="42"/>
        <v>1.4547537227950897</v>
      </c>
    </row>
    <row r="515" spans="10:14" x14ac:dyDescent="0.2">
      <c r="J515" s="58">
        <f t="shared" si="39"/>
        <v>1.8941118226666156</v>
      </c>
      <c r="K515" s="58">
        <f t="shared" si="40"/>
        <v>3.8256133942701473</v>
      </c>
      <c r="L515" s="58">
        <f t="shared" si="41"/>
        <v>6.8289503202180768</v>
      </c>
      <c r="M515" s="2">
        <f t="shared" si="43"/>
        <v>87.399999999999011</v>
      </c>
      <c r="N515" s="58">
        <f t="shared" si="42"/>
        <v>1.4416475972541338</v>
      </c>
    </row>
    <row r="516" spans="10:14" x14ac:dyDescent="0.2">
      <c r="J516" s="58">
        <f t="shared" si="39"/>
        <v>1.9022224340035405</v>
      </c>
      <c r="K516" s="58">
        <f t="shared" si="40"/>
        <v>3.8359499791845777</v>
      </c>
      <c r="L516" s="58">
        <f t="shared" si="41"/>
        <v>6.8409254078249573</v>
      </c>
      <c r="M516" s="2">
        <f t="shared" si="43"/>
        <v>87.499999999999005</v>
      </c>
      <c r="N516" s="58">
        <f t="shared" si="42"/>
        <v>1.4285714285715585</v>
      </c>
    </row>
    <row r="517" spans="10:14" x14ac:dyDescent="0.2">
      <c r="J517" s="58">
        <f t="shared" si="39"/>
        <v>1.9103573001041505</v>
      </c>
      <c r="K517" s="58">
        <f t="shared" si="40"/>
        <v>3.8462989811861754</v>
      </c>
      <c r="L517" s="58">
        <f t="shared" si="41"/>
        <v>6.8529009532192848</v>
      </c>
      <c r="M517" s="2">
        <f t="shared" si="43"/>
        <v>87.599999999999</v>
      </c>
      <c r="N517" s="58">
        <f t="shared" si="42"/>
        <v>1.4155251141553808</v>
      </c>
    </row>
    <row r="518" spans="10:14" x14ac:dyDescent="0.2">
      <c r="J518" s="58">
        <f t="shared" si="39"/>
        <v>1.9185165046504231</v>
      </c>
      <c r="K518" s="58">
        <f t="shared" si="40"/>
        <v>3.8566604114649641</v>
      </c>
      <c r="L518" s="58">
        <f t="shared" si="41"/>
        <v>6.864876951422068</v>
      </c>
      <c r="M518" s="2">
        <f t="shared" si="43"/>
        <v>87.699999999998994</v>
      </c>
      <c r="N518" s="58">
        <f t="shared" si="42"/>
        <v>1.4025085518815441</v>
      </c>
    </row>
    <row r="519" spans="10:14" x14ac:dyDescent="0.2">
      <c r="J519" s="58">
        <f t="shared" si="39"/>
        <v>1.9267001318099872</v>
      </c>
      <c r="K519" s="58">
        <f t="shared" si="40"/>
        <v>3.8670342812666556</v>
      </c>
      <c r="L519" s="58">
        <f t="shared" si="41"/>
        <v>6.8768533974775536</v>
      </c>
      <c r="M519" s="2">
        <f t="shared" si="43"/>
        <v>87.799999999998988</v>
      </c>
      <c r="N519" s="58">
        <f t="shared" si="42"/>
        <v>1.3895216400912478</v>
      </c>
    </row>
    <row r="520" spans="10:14" x14ac:dyDescent="0.2">
      <c r="J520" s="58">
        <f t="shared" si="39"/>
        <v>1.9349082662389965</v>
      </c>
      <c r="K520" s="58">
        <f t="shared" si="40"/>
        <v>3.8774206018926072</v>
      </c>
      <c r="L520" s="58">
        <f t="shared" si="41"/>
        <v>6.8888302864531097</v>
      </c>
      <c r="M520" s="2">
        <f t="shared" si="43"/>
        <v>87.899999999998983</v>
      </c>
      <c r="N520" s="58">
        <f t="shared" si="42"/>
        <v>1.3765642775883009</v>
      </c>
    </row>
    <row r="521" spans="10:14" x14ac:dyDescent="0.2">
      <c r="J521" s="58">
        <f t="shared" si="39"/>
        <v>1.9431409930850427</v>
      </c>
      <c r="K521" s="58">
        <f t="shared" si="40"/>
        <v>3.8878193846997617</v>
      </c>
      <c r="L521" s="58">
        <f t="shared" si="41"/>
        <v>6.9008076134390688</v>
      </c>
      <c r="M521" s="2">
        <f t="shared" si="43"/>
        <v>87.999999999998977</v>
      </c>
      <c r="N521" s="58">
        <f t="shared" si="42"/>
        <v>1.3636363636364965</v>
      </c>
    </row>
    <row r="522" spans="10:14" x14ac:dyDescent="0.2">
      <c r="J522" s="58">
        <f t="shared" si="39"/>
        <v>1.9513983979900789</v>
      </c>
      <c r="K522" s="58">
        <f t="shared" si="40"/>
        <v>3.8982306411006031</v>
      </c>
      <c r="L522" s="58">
        <f t="shared" si="41"/>
        <v>6.9127853735486191</v>
      </c>
      <c r="M522" s="2">
        <f t="shared" si="43"/>
        <v>88.099999999998971</v>
      </c>
      <c r="N522" s="58">
        <f t="shared" si="42"/>
        <v>1.3507377979570006</v>
      </c>
    </row>
    <row r="523" spans="10:14" x14ac:dyDescent="0.2">
      <c r="J523" s="58">
        <f t="shared" si="39"/>
        <v>1.9596805670933817</v>
      </c>
      <c r="K523" s="58">
        <f t="shared" si="40"/>
        <v>3.9086543825631122</v>
      </c>
      <c r="L523" s="58">
        <f t="shared" si="41"/>
        <v>6.9247635619176684</v>
      </c>
      <c r="M523" s="2">
        <f t="shared" si="43"/>
        <v>88.199999999998965</v>
      </c>
      <c r="N523" s="58">
        <f t="shared" si="42"/>
        <v>1.3378684807257564</v>
      </c>
    </row>
    <row r="524" spans="10:14" x14ac:dyDescent="0.2">
      <c r="J524" s="58">
        <f t="shared" si="39"/>
        <v>1.9679875870345283</v>
      </c>
      <c r="K524" s="58">
        <f t="shared" si="40"/>
        <v>3.9190906206107057</v>
      </c>
      <c r="L524" s="58">
        <f t="shared" si="41"/>
        <v>6.9367421737047072</v>
      </c>
      <c r="M524" s="2">
        <f t="shared" si="43"/>
        <v>88.29999999999896</v>
      </c>
      <c r="N524" s="58">
        <f t="shared" si="42"/>
        <v>1.3250283125709146</v>
      </c>
    </row>
    <row r="525" spans="10:14" x14ac:dyDescent="0.2">
      <c r="J525" s="58">
        <f t="shared" si="39"/>
        <v>1.9763195449564046</v>
      </c>
      <c r="K525" s="58">
        <f t="shared" si="40"/>
        <v>3.9295393668222065</v>
      </c>
      <c r="L525" s="58">
        <f t="shared" si="41"/>
        <v>6.9487212040906892</v>
      </c>
      <c r="M525" s="2">
        <f t="shared" si="43"/>
        <v>88.399999999998954</v>
      </c>
      <c r="N525" s="58">
        <f t="shared" si="42"/>
        <v>1.3122171945702696</v>
      </c>
    </row>
    <row r="526" spans="10:14" x14ac:dyDescent="0.2">
      <c r="J526" s="58">
        <f t="shared" si="39"/>
        <v>1.9846765285082353</v>
      </c>
      <c r="K526" s="58">
        <f t="shared" si="40"/>
        <v>3.9400006328317896</v>
      </c>
      <c r="L526" s="58">
        <f t="shared" si="41"/>
        <v>6.960700648278908</v>
      </c>
      <c r="M526" s="2">
        <f t="shared" si="43"/>
        <v>88.499999999998948</v>
      </c>
      <c r="N526" s="58">
        <f t="shared" si="42"/>
        <v>1.2994350282487215</v>
      </c>
    </row>
    <row r="527" spans="10:14" x14ac:dyDescent="0.2">
      <c r="J527" s="58">
        <f t="shared" si="39"/>
        <v>1.9930586258486431</v>
      </c>
      <c r="K527" s="58">
        <f t="shared" si="40"/>
        <v>3.9504744303289416</v>
      </c>
      <c r="L527" s="58">
        <f t="shared" si="41"/>
        <v>6.9726805014948612</v>
      </c>
      <c r="M527" s="2">
        <f t="shared" si="43"/>
        <v>88.599999999998943</v>
      </c>
      <c r="N527" s="58">
        <f t="shared" si="42"/>
        <v>1.2866817155757548</v>
      </c>
    </row>
    <row r="528" spans="10:14" x14ac:dyDescent="0.2">
      <c r="J528" s="58">
        <f t="shared" si="39"/>
        <v>2.0014659256487319</v>
      </c>
      <c r="K528" s="58">
        <f t="shared" si="40"/>
        <v>3.9609607710584145</v>
      </c>
      <c r="L528" s="58">
        <f t="shared" si="41"/>
        <v>6.9846607589861271</v>
      </c>
      <c r="M528" s="2">
        <f t="shared" si="43"/>
        <v>88.699999999998937</v>
      </c>
      <c r="N528" s="58">
        <f t="shared" si="42"/>
        <v>1.273957158962931</v>
      </c>
    </row>
    <row r="529" spans="10:14" x14ac:dyDescent="0.2">
      <c r="J529" s="58">
        <f t="shared" si="39"/>
        <v>2.0098985170951957</v>
      </c>
      <c r="K529" s="58">
        <f t="shared" si="40"/>
        <v>3.9714596668201883</v>
      </c>
      <c r="L529" s="58">
        <f t="shared" si="41"/>
        <v>6.9966414160222499</v>
      </c>
      <c r="M529" s="2">
        <f t="shared" si="43"/>
        <v>88.799999999998931</v>
      </c>
      <c r="N529" s="58">
        <f t="shared" si="42"/>
        <v>1.2612612612613976</v>
      </c>
    </row>
    <row r="530" spans="10:14" x14ac:dyDescent="0.2">
      <c r="J530" s="58">
        <f t="shared" si="39"/>
        <v>2.0183564898934572</v>
      </c>
      <c r="K530" s="58">
        <f t="shared" si="40"/>
        <v>3.9819711294694318</v>
      </c>
      <c r="L530" s="58">
        <f t="shared" si="41"/>
        <v>7.008622467894603</v>
      </c>
      <c r="M530" s="2">
        <f t="shared" si="43"/>
        <v>88.899999999998926</v>
      </c>
      <c r="N530" s="58">
        <f t="shared" si="42"/>
        <v>1.2485939257594154</v>
      </c>
    </row>
    <row r="531" spans="10:14" x14ac:dyDescent="0.2">
      <c r="J531" s="58">
        <f t="shared" si="39"/>
        <v>2.0268399342708254</v>
      </c>
      <c r="K531" s="58">
        <f t="shared" si="40"/>
        <v>3.992495170916452</v>
      </c>
      <c r="L531" s="58">
        <f t="shared" si="41"/>
        <v>7.0206039099162725</v>
      </c>
      <c r="M531" s="2">
        <f t="shared" si="43"/>
        <v>88.99999999999892</v>
      </c>
      <c r="N531" s="58">
        <f t="shared" si="42"/>
        <v>1.2359550561799111</v>
      </c>
    </row>
    <row r="532" spans="10:14" x14ac:dyDescent="0.2">
      <c r="J532" s="58">
        <f t="shared" si="39"/>
        <v>2.0353489409796919</v>
      </c>
      <c r="K532" s="58">
        <f t="shared" si="40"/>
        <v>4.003031803126671</v>
      </c>
      <c r="L532" s="58">
        <f t="shared" si="41"/>
        <v>7.0325857374219343</v>
      </c>
      <c r="M532" s="2">
        <f t="shared" si="43"/>
        <v>89.099999999998914</v>
      </c>
      <c r="N532" s="58">
        <f t="shared" si="42"/>
        <v>1.2233445566780272</v>
      </c>
    </row>
    <row r="533" spans="10:14" x14ac:dyDescent="0.2">
      <c r="J533" s="58">
        <f t="shared" si="39"/>
        <v>2.0438836013007471</v>
      </c>
      <c r="K533" s="58">
        <f t="shared" si="40"/>
        <v>4.0135810381205799</v>
      </c>
      <c r="L533" s="58">
        <f t="shared" si="41"/>
        <v>7.0445679457677377</v>
      </c>
      <c r="M533" s="2">
        <f t="shared" si="43"/>
        <v>89.199999999998909</v>
      </c>
      <c r="N533" s="58">
        <f t="shared" si="42"/>
        <v>1.2107623318387031</v>
      </c>
    </row>
    <row r="534" spans="10:14" x14ac:dyDescent="0.2">
      <c r="J534" s="58">
        <f t="shared" si="39"/>
        <v>2.0524440070462209</v>
      </c>
      <c r="K534" s="58">
        <f t="shared" si="40"/>
        <v>4.0241428879737073</v>
      </c>
      <c r="L534" s="58">
        <f t="shared" si="41"/>
        <v>7.0565505303311769</v>
      </c>
      <c r="M534" s="2">
        <f t="shared" si="43"/>
        <v>89.299999999998903</v>
      </c>
      <c r="N534" s="58">
        <f t="shared" si="42"/>
        <v>1.1982082866742694</v>
      </c>
    </row>
    <row r="535" spans="10:14" x14ac:dyDescent="0.2">
      <c r="J535" s="58">
        <f t="shared" si="39"/>
        <v>2.0610302505631557</v>
      </c>
      <c r="K535" s="58">
        <f t="shared" si="40"/>
        <v>4.0347173648165739</v>
      </c>
      <c r="L535" s="58">
        <f t="shared" si="41"/>
        <v>7.0685334865109724</v>
      </c>
      <c r="M535" s="2">
        <f t="shared" si="43"/>
        <v>89.399999999998897</v>
      </c>
      <c r="N535" s="58">
        <f t="shared" si="42"/>
        <v>1.1856823266220626</v>
      </c>
    </row>
    <row r="536" spans="10:14" x14ac:dyDescent="0.2">
      <c r="J536" s="58">
        <f t="shared" si="39"/>
        <v>2.0696424247367093</v>
      </c>
      <c r="K536" s="58">
        <f t="shared" si="40"/>
        <v>4.0453044808346741</v>
      </c>
      <c r="L536" s="58">
        <f t="shared" si="41"/>
        <v>7.0805168097269675</v>
      </c>
      <c r="M536" s="2">
        <f t="shared" si="43"/>
        <v>89.499999999998892</v>
      </c>
      <c r="N536" s="58">
        <f t="shared" si="42"/>
        <v>1.1731843575420378</v>
      </c>
    </row>
    <row r="537" spans="10:14" x14ac:dyDescent="0.2">
      <c r="J537" s="58">
        <f t="shared" ref="J537:J600" si="44">IF(B$5&gt;0.2*($N537),(B$5-0.2*($N537))^2/(B$5+0.8*($N537)),0)</f>
        <v>2.0782806229934825</v>
      </c>
      <c r="K537" s="58">
        <f t="shared" ref="K537:K600" si="45">IF(C$5&gt;0.2*($N537),(C$5-0.2*($N537))^2/(C$5+0.8*($N537)),0)</f>
        <v>4.0559042482684307</v>
      </c>
      <c r="L537" s="58">
        <f t="shared" ref="L537:L600" si="46">IF(D$5&gt;0.2*($N537),(D$5-0.2*($N537))^2/(D$5+0.8*($N537)),0)</f>
        <v>7.0925004954199826</v>
      </c>
      <c r="M537" s="2">
        <f t="shared" si="43"/>
        <v>89.599999999998886</v>
      </c>
      <c r="N537" s="58">
        <f t="shared" si="42"/>
        <v>1.160714285714425</v>
      </c>
    </row>
    <row r="538" spans="10:14" x14ac:dyDescent="0.2">
      <c r="J538" s="58">
        <f t="shared" si="44"/>
        <v>2.0869449393048747</v>
      </c>
      <c r="K538" s="58">
        <f t="shared" si="45"/>
        <v>4.0665166794131684</v>
      </c>
      <c r="L538" s="58">
        <f t="shared" si="46"/>
        <v>7.1044845390517235</v>
      </c>
      <c r="M538" s="2">
        <f t="shared" si="43"/>
        <v>89.69999999999888</v>
      </c>
      <c r="N538" s="58">
        <f t="shared" si="42"/>
        <v>1.1482720178373746</v>
      </c>
    </row>
    <row r="539" spans="10:14" x14ac:dyDescent="0.2">
      <c r="J539" s="58">
        <f t="shared" si="44"/>
        <v>2.0956354681904665</v>
      </c>
      <c r="K539" s="58">
        <f t="shared" si="45"/>
        <v>4.0771417866190793</v>
      </c>
      <c r="L539" s="58">
        <f t="shared" si="46"/>
        <v>7.1164689361046509</v>
      </c>
      <c r="M539" s="2">
        <f t="shared" si="43"/>
        <v>89.799999999998875</v>
      </c>
      <c r="N539" s="58">
        <f t="shared" si="42"/>
        <v>1.1358574610246386</v>
      </c>
    </row>
    <row r="540" spans="10:14" x14ac:dyDescent="0.2">
      <c r="J540" s="58">
        <f t="shared" si="44"/>
        <v>2.1043523047214401</v>
      </c>
      <c r="K540" s="58">
        <f t="shared" si="45"/>
        <v>4.0877795822912004</v>
      </c>
      <c r="L540" s="58">
        <f t="shared" si="46"/>
        <v>7.1284536820818714</v>
      </c>
      <c r="M540" s="2">
        <f t="shared" si="43"/>
        <v>89.899999999998869</v>
      </c>
      <c r="N540" s="58">
        <f t="shared" si="42"/>
        <v>1.1234705228032542</v>
      </c>
    </row>
    <row r="541" spans="10:14" x14ac:dyDescent="0.2">
      <c r="J541" s="58">
        <f t="shared" si="44"/>
        <v>2.1130955445240169</v>
      </c>
      <c r="K541" s="58">
        <f t="shared" si="45"/>
        <v>4.0984300788893737</v>
      </c>
      <c r="L541" s="58">
        <f t="shared" si="46"/>
        <v>7.1404387725070206</v>
      </c>
      <c r="M541" s="2">
        <f t="shared" si="43"/>
        <v>89.999999999998863</v>
      </c>
      <c r="N541" s="58">
        <f t="shared" si="42"/>
        <v>1.111111111111251</v>
      </c>
    </row>
    <row r="542" spans="10:14" x14ac:dyDescent="0.2">
      <c r="J542" s="58">
        <f t="shared" si="44"/>
        <v>2.1218652837829324</v>
      </c>
      <c r="K542" s="58">
        <f t="shared" si="45"/>
        <v>4.1090932889282286</v>
      </c>
      <c r="L542" s="58">
        <f t="shared" si="46"/>
        <v>7.1524242029241467</v>
      </c>
      <c r="M542" s="2">
        <f t="shared" si="43"/>
        <v>90.099999999998857</v>
      </c>
      <c r="N542" s="58">
        <f t="shared" si="42"/>
        <v>1.0987791342953681</v>
      </c>
    </row>
    <row r="543" spans="10:14" x14ac:dyDescent="0.2">
      <c r="J543" s="58">
        <f t="shared" si="44"/>
        <v>2.1306616192449401</v>
      </c>
      <c r="K543" s="58">
        <f t="shared" si="45"/>
        <v>4.1197692249771487</v>
      </c>
      <c r="L543" s="58">
        <f t="shared" si="46"/>
        <v>7.1644099688975995</v>
      </c>
      <c r="M543" s="2">
        <f t="shared" si="43"/>
        <v>90.199999999998852</v>
      </c>
      <c r="N543" s="58">
        <f t="shared" si="42"/>
        <v>1.0864745011087891</v>
      </c>
    </row>
    <row r="544" spans="10:14" x14ac:dyDescent="0.2">
      <c r="J544" s="58">
        <f t="shared" si="44"/>
        <v>2.139484648222342</v>
      </c>
      <c r="K544" s="58">
        <f t="shared" si="45"/>
        <v>4.1304578996602501</v>
      </c>
      <c r="L544" s="58">
        <f t="shared" si="46"/>
        <v>7.1763960660119217</v>
      </c>
      <c r="M544" s="2">
        <f t="shared" si="43"/>
        <v>90.299999999998846</v>
      </c>
      <c r="N544" s="58">
        <f t="shared" si="42"/>
        <v>1.0741971207088898</v>
      </c>
    </row>
    <row r="545" spans="10:14" x14ac:dyDescent="0.2">
      <c r="J545" s="58">
        <f t="shared" si="44"/>
        <v>2.1483344685965506</v>
      </c>
      <c r="K545" s="58">
        <f t="shared" si="45"/>
        <v>4.1411593256563526</v>
      </c>
      <c r="L545" s="58">
        <f t="shared" si="46"/>
        <v>7.1883824898717261</v>
      </c>
      <c r="M545" s="2">
        <f t="shared" si="43"/>
        <v>90.39999999999884</v>
      </c>
      <c r="N545" s="58">
        <f t="shared" si="42"/>
        <v>1.0619469026550092</v>
      </c>
    </row>
    <row r="546" spans="10:14" x14ac:dyDescent="0.2">
      <c r="J546" s="58">
        <f t="shared" si="44"/>
        <v>2.1572111788216839</v>
      </c>
      <c r="K546" s="58">
        <f t="shared" si="45"/>
        <v>4.151873515698961</v>
      </c>
      <c r="L546" s="58">
        <f t="shared" si="46"/>
        <v>7.2003692361016016</v>
      </c>
      <c r="M546" s="2">
        <f t="shared" si="43"/>
        <v>90.499999999998835</v>
      </c>
      <c r="N546" s="58">
        <f t="shared" si="42"/>
        <v>1.0497237569062197</v>
      </c>
    </row>
    <row r="547" spans="10:14" x14ac:dyDescent="0.2">
      <c r="J547" s="58">
        <f t="shared" si="44"/>
        <v>2.1661148779281865</v>
      </c>
      <c r="K547" s="58">
        <f t="shared" si="45"/>
        <v>4.1626004825762335</v>
      </c>
      <c r="L547" s="58">
        <f t="shared" si="46"/>
        <v>7.2123563003459799</v>
      </c>
      <c r="M547" s="2">
        <f t="shared" si="43"/>
        <v>90.599999999998829</v>
      </c>
      <c r="N547" s="58">
        <f t="shared" si="42"/>
        <v>1.037527593819128</v>
      </c>
    </row>
    <row r="548" spans="10:14" x14ac:dyDescent="0.2">
      <c r="J548" s="58">
        <f t="shared" si="44"/>
        <v>2.175045665526488</v>
      </c>
      <c r="K548" s="58">
        <f t="shared" si="45"/>
        <v>4.1733402391309733</v>
      </c>
      <c r="L548" s="58">
        <f t="shared" si="46"/>
        <v>7.2243436782690535</v>
      </c>
      <c r="M548" s="2">
        <f t="shared" si="43"/>
        <v>90.699999999998823</v>
      </c>
      <c r="N548" s="58">
        <f t="shared" si="42"/>
        <v>1.0253583241456781</v>
      </c>
    </row>
    <row r="549" spans="10:14" x14ac:dyDescent="0.2">
      <c r="J549" s="58">
        <f t="shared" si="44"/>
        <v>2.1840036418106878</v>
      </c>
      <c r="K549" s="58">
        <f t="shared" si="45"/>
        <v>4.1840927982605942</v>
      </c>
      <c r="L549" s="58">
        <f t="shared" si="46"/>
        <v>7.2363313655546406</v>
      </c>
      <c r="M549" s="2">
        <f t="shared" si="43"/>
        <v>90.799999999998818</v>
      </c>
      <c r="N549" s="58">
        <f t="shared" si="42"/>
        <v>1.0132158590309803</v>
      </c>
    </row>
    <row r="550" spans="10:14" x14ac:dyDescent="0.2">
      <c r="J550" s="58">
        <f t="shared" si="44"/>
        <v>2.1929889075622704</v>
      </c>
      <c r="K550" s="58">
        <f t="shared" si="45"/>
        <v>4.1948581729171099</v>
      </c>
      <c r="L550" s="58">
        <f t="shared" si="46"/>
        <v>7.2483193579060954</v>
      </c>
      <c r="M550" s="2">
        <f t="shared" si="43"/>
        <v>90.899999999998812</v>
      </c>
      <c r="N550" s="58">
        <f t="shared" si="42"/>
        <v>1.0011001100111443</v>
      </c>
    </row>
    <row r="551" spans="10:14" x14ac:dyDescent="0.2">
      <c r="J551" s="58">
        <f t="shared" si="44"/>
        <v>2.2020015641538579</v>
      </c>
      <c r="K551" s="58">
        <f t="shared" si="45"/>
        <v>4.2056363761071109</v>
      </c>
      <c r="L551" s="58">
        <f t="shared" si="46"/>
        <v>7.2603076510461886</v>
      </c>
      <c r="M551" s="2">
        <f t="shared" si="43"/>
        <v>90.999999999998806</v>
      </c>
      <c r="N551" s="58">
        <f t="shared" si="42"/>
        <v>0.98901098901113293</v>
      </c>
    </row>
    <row r="552" spans="10:14" x14ac:dyDescent="0.2">
      <c r="J552" s="58">
        <f t="shared" si="44"/>
        <v>2.2110417135529916</v>
      </c>
      <c r="K552" s="58">
        <f t="shared" si="45"/>
        <v>4.2164274208917485</v>
      </c>
      <c r="L552" s="58">
        <f t="shared" si="46"/>
        <v>7.2722962407170142</v>
      </c>
      <c r="M552" s="2">
        <f t="shared" si="43"/>
        <v>91.099999999998801</v>
      </c>
      <c r="N552" s="58">
        <f t="shared" si="42"/>
        <v>0.97694840834262564</v>
      </c>
    </row>
    <row r="553" spans="10:14" x14ac:dyDescent="0.2">
      <c r="J553" s="58">
        <f t="shared" si="44"/>
        <v>2.2201094583259464</v>
      </c>
      <c r="K553" s="58">
        <f t="shared" si="45"/>
        <v>4.2272313203867169</v>
      </c>
      <c r="L553" s="58">
        <f t="shared" si="46"/>
        <v>7.2842851226798659</v>
      </c>
      <c r="M553" s="2">
        <f t="shared" si="43"/>
        <v>91.199999999998795</v>
      </c>
      <c r="N553" s="58">
        <f t="shared" ref="N553:N616" si="47">IF(M553&gt;0,1000/M553-10,1000)</f>
        <v>0.96491228070189905</v>
      </c>
    </row>
    <row r="554" spans="10:14" x14ac:dyDescent="0.2">
      <c r="J554" s="58">
        <f t="shared" si="44"/>
        <v>2.2292049016415763</v>
      </c>
      <c r="K554" s="58">
        <f t="shared" si="45"/>
        <v>4.2380480877622375</v>
      </c>
      <c r="L554" s="58">
        <f t="shared" si="46"/>
        <v>7.2962742927151503</v>
      </c>
      <c r="M554" s="2">
        <f t="shared" si="43"/>
        <v>91.299999999998789</v>
      </c>
      <c r="N554" s="58">
        <f t="shared" si="47"/>
        <v>0.95290251916772384</v>
      </c>
    </row>
    <row r="555" spans="10:14" x14ac:dyDescent="0.2">
      <c r="J555" s="58">
        <f t="shared" si="44"/>
        <v>2.2383281472751952</v>
      </c>
      <c r="K555" s="58">
        <f t="shared" si="45"/>
        <v>4.2488777362430428</v>
      </c>
      <c r="L555" s="58">
        <f t="shared" si="46"/>
        <v>7.308263746622262</v>
      </c>
      <c r="M555" s="2">
        <f t="shared" si="43"/>
        <v>91.399999999998784</v>
      </c>
      <c r="N555" s="58">
        <f t="shared" si="47"/>
        <v>0.94091903719927039</v>
      </c>
    </row>
    <row r="556" spans="10:14" x14ac:dyDescent="0.2">
      <c r="J556" s="58">
        <f t="shared" si="44"/>
        <v>2.247479299612495</v>
      </c>
      <c r="K556" s="58">
        <f t="shared" si="45"/>
        <v>4.2597202791083681</v>
      </c>
      <c r="L556" s="58">
        <f t="shared" si="46"/>
        <v>7.3202534802195061</v>
      </c>
      <c r="M556" s="2">
        <f t="shared" si="43"/>
        <v>91.499999999998778</v>
      </c>
      <c r="N556" s="58">
        <f t="shared" si="47"/>
        <v>0.92896174863402514</v>
      </c>
    </row>
    <row r="557" spans="10:14" x14ac:dyDescent="0.2">
      <c r="J557" s="58">
        <f t="shared" si="44"/>
        <v>2.2566584636534839</v>
      </c>
      <c r="K557" s="58">
        <f t="shared" si="45"/>
        <v>4.27057572969193</v>
      </c>
      <c r="L557" s="58">
        <f t="shared" si="46"/>
        <v>7.3322434893439663</v>
      </c>
      <c r="M557" s="2">
        <f t="shared" si="43"/>
        <v>91.599999999998772</v>
      </c>
      <c r="N557" s="58">
        <f t="shared" si="47"/>
        <v>0.91703056768573532</v>
      </c>
    </row>
    <row r="558" spans="10:14" x14ac:dyDescent="0.2">
      <c r="J558" s="58">
        <f t="shared" si="44"/>
        <v>2.2658657450164745</v>
      </c>
      <c r="K558" s="58">
        <f t="shared" si="45"/>
        <v>4.2814441013819176</v>
      </c>
      <c r="L558" s="58">
        <f t="shared" si="46"/>
        <v>7.3442337698514217</v>
      </c>
      <c r="M558" s="2">
        <f t="shared" si="43"/>
        <v>91.699999999998766</v>
      </c>
      <c r="N558" s="58">
        <f t="shared" si="47"/>
        <v>0.90512540894235016</v>
      </c>
    </row>
    <row r="559" spans="10:14" x14ac:dyDescent="0.2">
      <c r="J559" s="58">
        <f t="shared" si="44"/>
        <v>2.2751012499421028</v>
      </c>
      <c r="K559" s="58">
        <f t="shared" si="45"/>
        <v>4.2923254076209885</v>
      </c>
      <c r="L559" s="58">
        <f t="shared" si="46"/>
        <v>7.3562243176162383</v>
      </c>
      <c r="M559" s="2">
        <f t="shared" si="43"/>
        <v>91.799999999998761</v>
      </c>
      <c r="N559" s="58">
        <f t="shared" si="47"/>
        <v>0.89324618736398165</v>
      </c>
    </row>
    <row r="560" spans="10:14" x14ac:dyDescent="0.2">
      <c r="J560" s="58">
        <f t="shared" si="44"/>
        <v>2.2843650852973663</v>
      </c>
      <c r="K560" s="58">
        <f t="shared" si="45"/>
        <v>4.3032196619062439</v>
      </c>
      <c r="L560" s="58">
        <f t="shared" si="46"/>
        <v>7.368215128531272</v>
      </c>
      <c r="M560" s="2">
        <f t="shared" si="43"/>
        <v>91.899999999998755</v>
      </c>
      <c r="N560" s="58">
        <f t="shared" si="47"/>
        <v>0.88139281828088656</v>
      </c>
    </row>
    <row r="561" spans="10:14" x14ac:dyDescent="0.2">
      <c r="J561" s="58">
        <f t="shared" si="44"/>
        <v>2.2936573585797189</v>
      </c>
      <c r="K561" s="58">
        <f t="shared" si="45"/>
        <v>4.3141268777892323</v>
      </c>
      <c r="L561" s="58">
        <f t="shared" si="46"/>
        <v>7.3802061985077563</v>
      </c>
      <c r="M561" s="2">
        <f t="shared" ref="M561:M624" si="48">M560+0.1</f>
        <v>91.999999999998749</v>
      </c>
      <c r="N561" s="58">
        <f t="shared" si="47"/>
        <v>0.86956521739145209</v>
      </c>
    </row>
    <row r="562" spans="10:14" x14ac:dyDescent="0.2">
      <c r="J562" s="58">
        <f t="shared" si="44"/>
        <v>2.3029781779211915</v>
      </c>
      <c r="K562" s="58">
        <f t="shared" si="45"/>
        <v>4.3250470688759366</v>
      </c>
      <c r="L562" s="58">
        <f t="shared" si="46"/>
        <v>7.3921975234752173</v>
      </c>
      <c r="M562" s="2">
        <f t="shared" si="48"/>
        <v>92.099999999998744</v>
      </c>
      <c r="N562" s="58">
        <f t="shared" si="47"/>
        <v>0.85776330076019214</v>
      </c>
    </row>
    <row r="563" spans="10:14" x14ac:dyDescent="0.2">
      <c r="J563" s="58">
        <f t="shared" si="44"/>
        <v>2.3123276520925442</v>
      </c>
      <c r="K563" s="58">
        <f t="shared" si="45"/>
        <v>4.3359802488267656</v>
      </c>
      <c r="L563" s="58">
        <f t="shared" si="46"/>
        <v>7.404189099381365</v>
      </c>
      <c r="M563" s="2">
        <f t="shared" si="48"/>
        <v>92.199999999998738</v>
      </c>
      <c r="N563" s="58">
        <f t="shared" si="47"/>
        <v>0.84598698481576662</v>
      </c>
    </row>
    <row r="564" spans="10:14" x14ac:dyDescent="0.2">
      <c r="J564" s="58">
        <f t="shared" si="44"/>
        <v>2.3217058905074603</v>
      </c>
      <c r="K564" s="58">
        <f t="shared" si="45"/>
        <v>4.3469264313565485</v>
      </c>
      <c r="L564" s="58">
        <f t="shared" si="46"/>
        <v>7.4161809221919981</v>
      </c>
      <c r="M564" s="2">
        <f t="shared" si="48"/>
        <v>92.299999999998732</v>
      </c>
      <c r="N564" s="58">
        <f t="shared" si="47"/>
        <v>0.83423618634901153</v>
      </c>
    </row>
    <row r="565" spans="10:14" x14ac:dyDescent="0.2">
      <c r="J565" s="58">
        <f t="shared" si="44"/>
        <v>2.331113003226772</v>
      </c>
      <c r="K565" s="58">
        <f t="shared" si="45"/>
        <v>4.3578856302345299</v>
      </c>
      <c r="L565" s="58">
        <f t="shared" si="46"/>
        <v>7.428172987890906</v>
      </c>
      <c r="M565" s="2">
        <f t="shared" si="48"/>
        <v>92.399999999998727</v>
      </c>
      <c r="N565" s="58">
        <f t="shared" si="47"/>
        <v>0.82251082251097252</v>
      </c>
    </row>
    <row r="566" spans="10:14" x14ac:dyDescent="0.2">
      <c r="J566" s="58">
        <f t="shared" si="44"/>
        <v>2.3405491009627344</v>
      </c>
      <c r="K566" s="58">
        <f t="shared" si="45"/>
        <v>4.3688578592843674</v>
      </c>
      <c r="L566" s="58">
        <f t="shared" si="46"/>
        <v>7.4401652924797714</v>
      </c>
      <c r="M566" s="2">
        <f t="shared" si="48"/>
        <v>92.499999999998721</v>
      </c>
      <c r="N566" s="58">
        <f t="shared" si="47"/>
        <v>0.81081081081095974</v>
      </c>
    </row>
    <row r="567" spans="10:14" x14ac:dyDescent="0.2">
      <c r="J567" s="58">
        <f t="shared" si="44"/>
        <v>2.3500142950833118</v>
      </c>
      <c r="K567" s="58">
        <f t="shared" si="45"/>
        <v>4.3798431323841163</v>
      </c>
      <c r="L567" s="58">
        <f t="shared" si="46"/>
        <v>7.4521578319780675</v>
      </c>
      <c r="M567" s="2">
        <f t="shared" si="48"/>
        <v>92.599999999998715</v>
      </c>
      <c r="N567" s="58">
        <f t="shared" si="47"/>
        <v>0.79913606911462054</v>
      </c>
    </row>
    <row r="568" spans="10:14" x14ac:dyDescent="0.2">
      <c r="J568" s="58">
        <f t="shared" si="44"/>
        <v>2.3595086976165356</v>
      </c>
      <c r="K568" s="58">
        <f t="shared" si="45"/>
        <v>4.3908414634662458</v>
      </c>
      <c r="L568" s="58">
        <f t="shared" si="46"/>
        <v>7.4641506024229729</v>
      </c>
      <c r="M568" s="2">
        <f t="shared" si="48"/>
        <v>92.69999999999871</v>
      </c>
      <c r="N568" s="58">
        <f t="shared" si="47"/>
        <v>0.787486515642005</v>
      </c>
    </row>
    <row r="569" spans="10:14" x14ac:dyDescent="0.2">
      <c r="J569" s="58">
        <f t="shared" si="44"/>
        <v>2.369032421254865</v>
      </c>
      <c r="K569" s="58">
        <f t="shared" si="45"/>
        <v>4.401852866517622</v>
      </c>
      <c r="L569" s="58">
        <f t="shared" si="46"/>
        <v>7.476143599869272</v>
      </c>
      <c r="M569" s="2">
        <f t="shared" si="48"/>
        <v>92.799999999998704</v>
      </c>
      <c r="N569" s="58">
        <f t="shared" si="47"/>
        <v>0.77586206896566701</v>
      </c>
    </row>
    <row r="570" spans="10:14" x14ac:dyDescent="0.2">
      <c r="J570" s="58">
        <f t="shared" si="44"/>
        <v>2.3785855793596125</v>
      </c>
      <c r="K570" s="58">
        <f t="shared" si="45"/>
        <v>4.4128773555795124</v>
      </c>
      <c r="L570" s="58">
        <f t="shared" si="46"/>
        <v>7.4881368203892507</v>
      </c>
      <c r="M570" s="2">
        <f t="shared" si="48"/>
        <v>92.899999999998698</v>
      </c>
      <c r="N570" s="58">
        <f t="shared" si="47"/>
        <v>0.76426264800876176</v>
      </c>
    </row>
    <row r="571" spans="10:14" x14ac:dyDescent="0.2">
      <c r="J571" s="58">
        <f t="shared" si="44"/>
        <v>2.3881682859653957</v>
      </c>
      <c r="K571" s="58">
        <f t="shared" si="45"/>
        <v>4.4239149447475858</v>
      </c>
      <c r="L571" s="58">
        <f t="shared" si="46"/>
        <v>7.5001302600726181</v>
      </c>
      <c r="M571" s="2">
        <f t="shared" si="48"/>
        <v>92.999999999998693</v>
      </c>
      <c r="N571" s="58">
        <f t="shared" si="47"/>
        <v>0.75268817204316107</v>
      </c>
    </row>
    <row r="572" spans="10:14" x14ac:dyDescent="0.2">
      <c r="J572" s="58">
        <f t="shared" si="44"/>
        <v>2.397780655784624</v>
      </c>
      <c r="K572" s="58">
        <f t="shared" si="45"/>
        <v>4.43496564817191</v>
      </c>
      <c r="L572" s="58">
        <f t="shared" si="46"/>
        <v>7.5121239150264003</v>
      </c>
      <c r="M572" s="2">
        <f t="shared" si="48"/>
        <v>93.099999999998687</v>
      </c>
      <c r="N572" s="58">
        <f t="shared" si="47"/>
        <v>0.74113856068758466</v>
      </c>
    </row>
    <row r="573" spans="10:14" x14ac:dyDescent="0.2">
      <c r="J573" s="58">
        <f t="shared" si="44"/>
        <v>2.4074228042120369</v>
      </c>
      <c r="K573" s="58">
        <f t="shared" si="45"/>
        <v>4.4460294800569624</v>
      </c>
      <c r="L573" s="58">
        <f t="shared" si="46"/>
        <v>7.5241177813748559</v>
      </c>
      <c r="M573" s="2">
        <f t="shared" si="48"/>
        <v>93.199999999998681</v>
      </c>
      <c r="N573" s="58">
        <f t="shared" si="47"/>
        <v>0.72961373390573137</v>
      </c>
    </row>
    <row r="574" spans="10:14" x14ac:dyDescent="0.2">
      <c r="J574" s="58">
        <f t="shared" si="44"/>
        <v>2.4170948473292722</v>
      </c>
      <c r="K574" s="58">
        <f t="shared" si="45"/>
        <v>4.4571064546616199</v>
      </c>
      <c r="L574" s="58">
        <f t="shared" si="46"/>
        <v>7.5361118552593762</v>
      </c>
      <c r="M574" s="2">
        <f t="shared" si="48"/>
        <v>93.299999999998676</v>
      </c>
      <c r="N574" s="58">
        <f t="shared" si="47"/>
        <v>0.71811361200443891</v>
      </c>
    </row>
    <row r="575" spans="10:14" x14ac:dyDescent="0.2">
      <c r="J575" s="58">
        <f t="shared" si="44"/>
        <v>2.4267969019094742</v>
      </c>
      <c r="K575" s="58">
        <f t="shared" si="45"/>
        <v>4.4681965862991717</v>
      </c>
      <c r="L575" s="58">
        <f t="shared" si="46"/>
        <v>7.5481061328383987</v>
      </c>
      <c r="M575" s="2">
        <f t="shared" si="48"/>
        <v>93.39999999999867</v>
      </c>
      <c r="N575" s="58">
        <f t="shared" si="47"/>
        <v>0.70663811563184353</v>
      </c>
    </row>
    <row r="576" spans="10:14" x14ac:dyDescent="0.2">
      <c r="J576" s="58">
        <f t="shared" si="44"/>
        <v>2.4365290854219479</v>
      </c>
      <c r="K576" s="58">
        <f t="shared" si="45"/>
        <v>4.4792998893373177</v>
      </c>
      <c r="L576" s="58">
        <f t="shared" si="46"/>
        <v>7.5601006102873125</v>
      </c>
      <c r="M576" s="2">
        <f t="shared" si="48"/>
        <v>93.499999999998664</v>
      </c>
      <c r="N576" s="58">
        <f t="shared" si="47"/>
        <v>0.69518716577555395</v>
      </c>
    </row>
    <row r="577" spans="10:14" x14ac:dyDescent="0.2">
      <c r="J577" s="58">
        <f t="shared" si="44"/>
        <v>2.4462915160368524</v>
      </c>
      <c r="K577" s="58">
        <f t="shared" si="45"/>
        <v>4.4904163781981818</v>
      </c>
      <c r="L577" s="58">
        <f t="shared" si="46"/>
        <v>7.5720952837983662</v>
      </c>
      <c r="M577" s="2">
        <f t="shared" si="48"/>
        <v>93.599999999998658</v>
      </c>
      <c r="N577" s="58">
        <f t="shared" si="47"/>
        <v>0.68376068376083765</v>
      </c>
    </row>
    <row r="578" spans="10:14" x14ac:dyDescent="0.2">
      <c r="J578" s="58">
        <f t="shared" si="44"/>
        <v>2.4560843126299292</v>
      </c>
      <c r="K578" s="58">
        <f t="shared" si="45"/>
        <v>4.5015460673583094</v>
      </c>
      <c r="L578" s="58">
        <f t="shared" si="46"/>
        <v>7.5840901495805921</v>
      </c>
      <c r="M578" s="2">
        <f t="shared" si="48"/>
        <v>93.699999999998653</v>
      </c>
      <c r="N578" s="58">
        <f t="shared" si="47"/>
        <v>0.67235859124881969</v>
      </c>
    </row>
    <row r="579" spans="10:14" x14ac:dyDescent="0.2">
      <c r="J579" s="58">
        <f t="shared" si="44"/>
        <v>2.4659075947872791</v>
      </c>
      <c r="K579" s="58">
        <f t="shared" si="45"/>
        <v>4.5126889713486769</v>
      </c>
      <c r="L579" s="58">
        <f t="shared" si="46"/>
        <v>7.5960852038596904</v>
      </c>
      <c r="M579" s="2">
        <f t="shared" si="48"/>
        <v>93.799999999998647</v>
      </c>
      <c r="N579" s="58">
        <f t="shared" si="47"/>
        <v>0.66098081023469568</v>
      </c>
    </row>
    <row r="580" spans="10:14" x14ac:dyDescent="0.2">
      <c r="J580" s="58">
        <f t="shared" si="44"/>
        <v>2.4757614828101748</v>
      </c>
      <c r="K580" s="58">
        <f t="shared" si="45"/>
        <v>4.5238451047547033</v>
      </c>
      <c r="L580" s="58">
        <f t="shared" si="46"/>
        <v>7.6080804428779674</v>
      </c>
      <c r="M580" s="2">
        <f t="shared" si="48"/>
        <v>93.899999999998641</v>
      </c>
      <c r="N580" s="58">
        <f t="shared" si="47"/>
        <v>0.64962726304594831</v>
      </c>
    </row>
    <row r="581" spans="10:14" x14ac:dyDescent="0.2">
      <c r="J581" s="58">
        <f t="shared" si="44"/>
        <v>2.4856460977199282</v>
      </c>
      <c r="K581" s="58">
        <f t="shared" si="45"/>
        <v>4.5350144822162539</v>
      </c>
      <c r="L581" s="58">
        <f t="shared" si="46"/>
        <v>7.6200758628942271</v>
      </c>
      <c r="M581" s="2">
        <f t="shared" si="48"/>
        <v>93.999999999998636</v>
      </c>
      <c r="N581" s="58">
        <f t="shared" si="47"/>
        <v>0.63829787234057989</v>
      </c>
    </row>
    <row r="582" spans="10:14" x14ac:dyDescent="0.2">
      <c r="J582" s="58">
        <f t="shared" si="44"/>
        <v>2.4955615612627788</v>
      </c>
      <c r="K582" s="58">
        <f t="shared" si="45"/>
        <v>4.5461971184276528</v>
      </c>
      <c r="L582" s="58">
        <f t="shared" si="46"/>
        <v>7.632071460183691</v>
      </c>
      <c r="M582" s="2">
        <f t="shared" si="48"/>
        <v>94.09999999999863</v>
      </c>
      <c r="N582" s="58">
        <f t="shared" si="47"/>
        <v>0.62699256110536261</v>
      </c>
    </row>
    <row r="583" spans="10:14" x14ac:dyDescent="0.2">
      <c r="J583" s="58">
        <f t="shared" si="44"/>
        <v>2.5055079959148485</v>
      </c>
      <c r="K583" s="58">
        <f t="shared" si="45"/>
        <v>4.5573930281376933</v>
      </c>
      <c r="L583" s="58">
        <f t="shared" si="46"/>
        <v>7.6440672310379192</v>
      </c>
      <c r="M583" s="2">
        <f t="shared" si="48"/>
        <v>94.199999999998624</v>
      </c>
      <c r="N583" s="58">
        <f t="shared" si="47"/>
        <v>0.61571125265408355</v>
      </c>
    </row>
    <row r="584" spans="10:14" x14ac:dyDescent="0.2">
      <c r="J584" s="58">
        <f t="shared" si="44"/>
        <v>2.5154855248871222</v>
      </c>
      <c r="K584" s="58">
        <f t="shared" si="45"/>
        <v>4.5686022261496495</v>
      </c>
      <c r="L584" s="58">
        <f t="shared" si="46"/>
        <v>7.6560631717647114</v>
      </c>
      <c r="M584" s="2">
        <f t="shared" si="48"/>
        <v>94.299999999998619</v>
      </c>
      <c r="N584" s="58">
        <f t="shared" si="47"/>
        <v>0.60445387062581801</v>
      </c>
    </row>
    <row r="585" spans="10:14" x14ac:dyDescent="0.2">
      <c r="J585" s="58">
        <f t="shared" si="44"/>
        <v>2.5254942721304823</v>
      </c>
      <c r="K585" s="58">
        <f t="shared" si="45"/>
        <v>4.5798247273212827</v>
      </c>
      <c r="L585" s="58">
        <f t="shared" si="46"/>
        <v>7.6680592786880162</v>
      </c>
      <c r="M585" s="2">
        <f t="shared" si="48"/>
        <v>94.399999999998613</v>
      </c>
      <c r="N585" s="58">
        <f t="shared" si="47"/>
        <v>0.59322033898320647</v>
      </c>
    </row>
    <row r="586" spans="10:14" x14ac:dyDescent="0.2">
      <c r="J586" s="58">
        <f t="shared" si="44"/>
        <v>2.5355343623407838</v>
      </c>
      <c r="K586" s="58">
        <f t="shared" si="45"/>
        <v>4.5910605465648633</v>
      </c>
      <c r="L586" s="58">
        <f t="shared" si="46"/>
        <v>7.6800555481478652</v>
      </c>
      <c r="M586" s="2">
        <f t="shared" si="48"/>
        <v>94.499999999998607</v>
      </c>
      <c r="N586" s="58">
        <f t="shared" si="47"/>
        <v>0.58201058201073863</v>
      </c>
    </row>
    <row r="587" spans="10:14" x14ac:dyDescent="0.2">
      <c r="J587" s="58">
        <f t="shared" si="44"/>
        <v>2.5456059209639781</v>
      </c>
      <c r="K587" s="58">
        <f t="shared" si="45"/>
        <v>4.6023096988471801</v>
      </c>
      <c r="L587" s="58">
        <f t="shared" si="46"/>
        <v>7.6920519765002764</v>
      </c>
      <c r="M587" s="2">
        <f t="shared" si="48"/>
        <v>94.599999999998602</v>
      </c>
      <c r="N587" s="58">
        <f t="shared" si="47"/>
        <v>0.57082452431305342</v>
      </c>
    </row>
    <row r="588" spans="10:14" x14ac:dyDescent="0.2">
      <c r="J588" s="58">
        <f t="shared" si="44"/>
        <v>2.555709074201272</v>
      </c>
      <c r="K588" s="58">
        <f t="shared" si="45"/>
        <v>4.613572199189556</v>
      </c>
      <c r="L588" s="58">
        <f t="shared" si="46"/>
        <v>7.7040485601171644</v>
      </c>
      <c r="M588" s="2">
        <f t="shared" si="48"/>
        <v>94.699999999998596</v>
      </c>
      <c r="N588" s="58">
        <f t="shared" si="47"/>
        <v>0.55966209081324969</v>
      </c>
    </row>
    <row r="589" spans="10:14" x14ac:dyDescent="0.2">
      <c r="J589" s="58">
        <f t="shared" si="44"/>
        <v>2.5658439490143419</v>
      </c>
      <c r="K589" s="58">
        <f t="shared" si="45"/>
        <v>4.6248480626678576</v>
      </c>
      <c r="L589" s="58">
        <f t="shared" si="46"/>
        <v>7.7160452953862642</v>
      </c>
      <c r="M589" s="2">
        <f t="shared" si="48"/>
        <v>94.79999999999859</v>
      </c>
      <c r="N589" s="58">
        <f t="shared" si="47"/>
        <v>0.54852320675121113</v>
      </c>
    </row>
    <row r="590" spans="10:14" x14ac:dyDescent="0.2">
      <c r="J590" s="58">
        <f t="shared" si="44"/>
        <v>2.5760106731305954</v>
      </c>
      <c r="K590" s="58">
        <f t="shared" si="45"/>
        <v>4.6361373044125225</v>
      </c>
      <c r="L590" s="58">
        <f t="shared" si="46"/>
        <v>7.7280421787110489</v>
      </c>
      <c r="M590" s="2">
        <f t="shared" si="48"/>
        <v>94.899999999998585</v>
      </c>
      <c r="N590" s="58">
        <f t="shared" si="47"/>
        <v>0.53740779768192759</v>
      </c>
    </row>
    <row r="591" spans="10:14" x14ac:dyDescent="0.2">
      <c r="J591" s="58">
        <f t="shared" si="44"/>
        <v>2.5862093750484729</v>
      </c>
      <c r="K591" s="58">
        <f t="shared" si="45"/>
        <v>4.6474399396085717</v>
      </c>
      <c r="L591" s="58">
        <f t="shared" si="46"/>
        <v>7.74003920651064</v>
      </c>
      <c r="M591" s="2">
        <f t="shared" si="48"/>
        <v>94.999999999998579</v>
      </c>
      <c r="N591" s="58">
        <f t="shared" si="47"/>
        <v>0.52631578947384128</v>
      </c>
    </row>
    <row r="592" spans="10:14" x14ac:dyDescent="0.2">
      <c r="J592" s="58">
        <f t="shared" si="44"/>
        <v>2.5964401840427933</v>
      </c>
      <c r="K592" s="58">
        <f t="shared" si="45"/>
        <v>4.6587559834956194</v>
      </c>
      <c r="L592" s="58">
        <f t="shared" si="46"/>
        <v>7.7520363752197303</v>
      </c>
      <c r="M592" s="2">
        <f t="shared" si="48"/>
        <v>95.099999999998573</v>
      </c>
      <c r="N592" s="58">
        <f t="shared" si="47"/>
        <v>0.51524710830720366</v>
      </c>
    </row>
    <row r="593" spans="10:14" x14ac:dyDescent="0.2">
      <c r="J593" s="58">
        <f t="shared" si="44"/>
        <v>2.6067032301701638</v>
      </c>
      <c r="K593" s="58">
        <f t="shared" si="45"/>
        <v>4.6700854513679086</v>
      </c>
      <c r="L593" s="58">
        <f t="shared" si="46"/>
        <v>7.7640336812885016</v>
      </c>
      <c r="M593" s="2">
        <f t="shared" si="48"/>
        <v>95.199999999998568</v>
      </c>
      <c r="N593" s="58">
        <f t="shared" si="47"/>
        <v>0.50420168067242699</v>
      </c>
    </row>
    <row r="594" spans="10:14" x14ac:dyDescent="0.2">
      <c r="J594" s="58">
        <f t="shared" si="44"/>
        <v>2.6169986442744149</v>
      </c>
      <c r="K594" s="58">
        <f t="shared" si="45"/>
        <v>4.6814283585743128</v>
      </c>
      <c r="L594" s="58">
        <f t="shared" si="46"/>
        <v>7.7760311211825401</v>
      </c>
      <c r="M594" s="2">
        <f t="shared" si="48"/>
        <v>95.299999999998562</v>
      </c>
      <c r="N594" s="58">
        <f t="shared" si="47"/>
        <v>0.49317943336846959</v>
      </c>
    </row>
    <row r="595" spans="10:14" x14ac:dyDescent="0.2">
      <c r="J595" s="58">
        <f t="shared" si="44"/>
        <v>2.6273265579921028</v>
      </c>
      <c r="K595" s="58">
        <f t="shared" si="45"/>
        <v>4.6927847205183726</v>
      </c>
      <c r="L595" s="58">
        <f t="shared" si="46"/>
        <v>7.7880286913827579</v>
      </c>
      <c r="M595" s="2">
        <f t="shared" si="48"/>
        <v>95.399999999998556</v>
      </c>
      <c r="N595" s="58">
        <f t="shared" si="47"/>
        <v>0.48218029350120695</v>
      </c>
    </row>
    <row r="596" spans="10:14" x14ac:dyDescent="0.2">
      <c r="J596" s="58">
        <f t="shared" si="44"/>
        <v>2.6376871037580503</v>
      </c>
      <c r="K596" s="58">
        <f t="shared" si="45"/>
        <v>4.7041545526583048</v>
      </c>
      <c r="L596" s="58">
        <f t="shared" si="46"/>
        <v>7.8000263883853131</v>
      </c>
      <c r="M596" s="2">
        <f t="shared" si="48"/>
        <v>95.49999999999855</v>
      </c>
      <c r="N596" s="58">
        <f t="shared" si="47"/>
        <v>0.47120418848183476</v>
      </c>
    </row>
    <row r="597" spans="10:14" x14ac:dyDescent="0.2">
      <c r="J597" s="58">
        <f t="shared" si="44"/>
        <v>2.6480804148109436</v>
      </c>
      <c r="K597" s="58">
        <f t="shared" si="45"/>
        <v>4.7155378705070294</v>
      </c>
      <c r="L597" s="58">
        <f t="shared" si="46"/>
        <v>7.8120242087015317</v>
      </c>
      <c r="M597" s="2">
        <f t="shared" si="48"/>
        <v>95.599999999998545</v>
      </c>
      <c r="N597" s="58">
        <f t="shared" si="47"/>
        <v>0.46025104602526312</v>
      </c>
    </row>
    <row r="598" spans="10:14" x14ac:dyDescent="0.2">
      <c r="J598" s="58">
        <f t="shared" si="44"/>
        <v>2.6585066251989691</v>
      </c>
      <c r="K598" s="58">
        <f t="shared" si="45"/>
        <v>4.726934689632194</v>
      </c>
      <c r="L598" s="58">
        <f t="shared" si="46"/>
        <v>7.8240221488578188</v>
      </c>
      <c r="M598" s="2">
        <f t="shared" si="48"/>
        <v>95.699999999998539</v>
      </c>
      <c r="N598" s="58">
        <f t="shared" si="47"/>
        <v>0.44932079414853909</v>
      </c>
    </row>
    <row r="599" spans="10:14" x14ac:dyDescent="0.2">
      <c r="J599" s="58">
        <f t="shared" si="44"/>
        <v>2.6689658697855116</v>
      </c>
      <c r="K599" s="58">
        <f t="shared" si="45"/>
        <v>4.7383450256561961</v>
      </c>
      <c r="L599" s="58">
        <f t="shared" si="46"/>
        <v>7.8360202053955899</v>
      </c>
      <c r="M599" s="2">
        <f t="shared" si="48"/>
        <v>95.799999999998533</v>
      </c>
      <c r="N599" s="58">
        <f t="shared" si="47"/>
        <v>0.43841336116926222</v>
      </c>
    </row>
    <row r="600" spans="10:14" x14ac:dyDescent="0.2">
      <c r="J600" s="58">
        <f t="shared" si="44"/>
        <v>2.6794582842549031</v>
      </c>
      <c r="K600" s="58">
        <f t="shared" si="45"/>
        <v>4.7497688942562082</v>
      </c>
      <c r="L600" s="58">
        <f t="shared" si="46"/>
        <v>7.8480183748711978</v>
      </c>
      <c r="M600" s="2">
        <f t="shared" si="48"/>
        <v>95.899999999998528</v>
      </c>
      <c r="N600" s="58">
        <f t="shared" si="47"/>
        <v>0.42752867570401776</v>
      </c>
    </row>
    <row r="601" spans="10:14" x14ac:dyDescent="0.2">
      <c r="J601" s="58">
        <f t="shared" ref="J601:J639" si="49">IF(B$5&gt;0.2*($N601),(B$5-0.2*($N601))^2/(B$5+0.8*($N601)),0)</f>
        <v>2.6899840051182062</v>
      </c>
      <c r="K601" s="58">
        <f t="shared" ref="K601:K639" si="50">IF(C$5&gt;0.2*($N601),(C$5-0.2*($N601))^2/(C$5+0.8*($N601)),0)</f>
        <v>4.7612063111642007</v>
      </c>
      <c r="L601" s="58">
        <f t="shared" ref="L601:L639" si="51">IF(D$5&gt;0.2*($N601),(D$5-0.2*($N601))^2/(D$5+0.8*($N601)),0)</f>
        <v>7.8600166538558289</v>
      </c>
      <c r="M601" s="2">
        <f t="shared" si="48"/>
        <v>95.999999999998522</v>
      </c>
      <c r="N601" s="58">
        <f t="shared" si="47"/>
        <v>0.41666666666682772</v>
      </c>
    </row>
    <row r="602" spans="10:14" x14ac:dyDescent="0.2">
      <c r="J602" s="58">
        <f t="shared" si="49"/>
        <v>2.7005431697190749</v>
      </c>
      <c r="K602" s="58">
        <f t="shared" si="50"/>
        <v>4.7726572921669721</v>
      </c>
      <c r="L602" s="58">
        <f t="shared" si="51"/>
        <v>7.8720150389354631</v>
      </c>
      <c r="M602" s="2">
        <f t="shared" si="48"/>
        <v>96.099999999998516</v>
      </c>
      <c r="N602" s="58">
        <f t="shared" si="47"/>
        <v>0.40582726326759122</v>
      </c>
    </row>
    <row r="603" spans="10:14" x14ac:dyDescent="0.2">
      <c r="J603" s="58">
        <f t="shared" si="49"/>
        <v>2.7111359162396464</v>
      </c>
      <c r="K603" s="58">
        <f t="shared" si="50"/>
        <v>4.7841218531061731</v>
      </c>
      <c r="L603" s="58">
        <f t="shared" si="51"/>
        <v>7.8840135267107634</v>
      </c>
      <c r="M603" s="2">
        <f t="shared" si="48"/>
        <v>96.199999999998511</v>
      </c>
      <c r="N603" s="58">
        <f t="shared" si="47"/>
        <v>0.39501039501055679</v>
      </c>
    </row>
    <row r="604" spans="10:14" x14ac:dyDescent="0.2">
      <c r="J604" s="58">
        <f t="shared" si="49"/>
        <v>2.7217623837065039</v>
      </c>
      <c r="K604" s="58">
        <f t="shared" si="50"/>
        <v>4.7956000098783385</v>
      </c>
      <c r="L604" s="58">
        <f t="shared" si="51"/>
        <v>7.8960121137970178</v>
      </c>
      <c r="M604" s="2">
        <f t="shared" si="48"/>
        <v>96.299999999998505</v>
      </c>
      <c r="N604" s="58">
        <f t="shared" si="47"/>
        <v>0.38421599169278764</v>
      </c>
    </row>
    <row r="605" spans="10:14" x14ac:dyDescent="0.2">
      <c r="J605" s="58">
        <f t="shared" si="49"/>
        <v>2.7324227119966644</v>
      </c>
      <c r="K605" s="58">
        <f t="shared" si="50"/>
        <v>4.8070917784349039</v>
      </c>
      <c r="L605" s="58">
        <f t="shared" si="51"/>
        <v>7.9080107968240556</v>
      </c>
      <c r="M605" s="2">
        <f t="shared" si="48"/>
        <v>96.399999999998499</v>
      </c>
      <c r="N605" s="58">
        <f t="shared" si="47"/>
        <v>0.37344398340265172</v>
      </c>
    </row>
    <row r="606" spans="10:14" x14ac:dyDescent="0.2">
      <c r="J606" s="58">
        <f t="shared" si="49"/>
        <v>2.743117041843667</v>
      </c>
      <c r="K606" s="58">
        <f t="shared" si="50"/>
        <v>4.8185971747822558</v>
      </c>
      <c r="L606" s="58">
        <f t="shared" si="51"/>
        <v>7.9200095724361814</v>
      </c>
      <c r="M606" s="2">
        <f t="shared" si="48"/>
        <v>96.499999999998494</v>
      </c>
      <c r="N606" s="58">
        <f t="shared" si="47"/>
        <v>0.36269430051829588</v>
      </c>
    </row>
    <row r="607" spans="10:14" x14ac:dyDescent="0.2">
      <c r="J607" s="58">
        <f t="shared" si="49"/>
        <v>2.7538455148436616</v>
      </c>
      <c r="K607" s="58">
        <f t="shared" si="50"/>
        <v>4.8301162149817394</v>
      </c>
      <c r="L607" s="58">
        <f t="shared" si="51"/>
        <v>7.932008437292084</v>
      </c>
      <c r="M607" s="2">
        <f t="shared" si="48"/>
        <v>96.599999999998488</v>
      </c>
      <c r="N607" s="58">
        <f t="shared" si="47"/>
        <v>0.35196687370616608</v>
      </c>
    </row>
    <row r="608" spans="10:14" x14ac:dyDescent="0.2">
      <c r="J608" s="58">
        <f t="shared" si="49"/>
        <v>2.7646082734615991</v>
      </c>
      <c r="K608" s="58">
        <f t="shared" si="50"/>
        <v>4.8416489151497064</v>
      </c>
      <c r="L608" s="58">
        <f t="shared" si="51"/>
        <v>7.9440073880647839</v>
      </c>
      <c r="M608" s="2">
        <f t="shared" si="48"/>
        <v>96.699999999998482</v>
      </c>
      <c r="N608" s="58">
        <f t="shared" si="47"/>
        <v>0.34126163391950115</v>
      </c>
    </row>
    <row r="609" spans="10:14" x14ac:dyDescent="0.2">
      <c r="J609" s="58">
        <f t="shared" si="49"/>
        <v>2.7754054610374492</v>
      </c>
      <c r="K609" s="58">
        <f t="shared" si="50"/>
        <v>4.8531952914575429</v>
      </c>
      <c r="L609" s="58">
        <f t="shared" si="51"/>
        <v>7.9560064214415398</v>
      </c>
      <c r="M609" s="2">
        <f t="shared" si="48"/>
        <v>96.799999999998477</v>
      </c>
      <c r="N609" s="58">
        <f t="shared" si="47"/>
        <v>0.33057851239685654</v>
      </c>
    </row>
    <row r="610" spans="10:14" x14ac:dyDescent="0.2">
      <c r="J610" s="58">
        <f t="shared" si="49"/>
        <v>2.7862372217924811</v>
      </c>
      <c r="K610" s="58">
        <f t="shared" si="50"/>
        <v>4.8647553601316913</v>
      </c>
      <c r="L610" s="58">
        <f t="shared" si="51"/>
        <v>7.9680055341237805</v>
      </c>
      <c r="M610" s="2">
        <f t="shared" si="48"/>
        <v>96.899999999998471</v>
      </c>
      <c r="N610" s="58">
        <f t="shared" si="47"/>
        <v>0.3199174406606371</v>
      </c>
    </row>
    <row r="611" spans="10:14" x14ac:dyDescent="0.2">
      <c r="J611" s="58">
        <f t="shared" si="49"/>
        <v>2.7971037008356077</v>
      </c>
      <c r="K611" s="58">
        <f t="shared" si="50"/>
        <v>4.8763291374536983</v>
      </c>
      <c r="L611" s="58">
        <f t="shared" si="51"/>
        <v>7.9800047228270392</v>
      </c>
      <c r="M611" s="2">
        <f t="shared" si="48"/>
        <v>96.999999999998465</v>
      </c>
      <c r="N611" s="58">
        <f t="shared" si="47"/>
        <v>0.30927835051562624</v>
      </c>
    </row>
    <row r="612" spans="10:14" x14ac:dyDescent="0.2">
      <c r="J612" s="58">
        <f t="shared" si="49"/>
        <v>2.8080050441697808</v>
      </c>
      <c r="K612" s="58">
        <f t="shared" si="50"/>
        <v>4.8879166397602427</v>
      </c>
      <c r="L612" s="58">
        <f t="shared" si="51"/>
        <v>7.9920039842808661</v>
      </c>
      <c r="M612" s="2">
        <f t="shared" si="48"/>
        <v>97.09999999999846</v>
      </c>
      <c r="N612" s="58">
        <f t="shared" si="47"/>
        <v>0.29866117404753645</v>
      </c>
    </row>
    <row r="613" spans="10:14" x14ac:dyDescent="0.2">
      <c r="J613" s="58">
        <f t="shared" si="49"/>
        <v>2.8189413986984455</v>
      </c>
      <c r="K613" s="58">
        <f t="shared" si="50"/>
        <v>4.8995178834431652</v>
      </c>
      <c r="L613" s="58">
        <f t="shared" si="51"/>
        <v>8.0040033152287755</v>
      </c>
      <c r="M613" s="2">
        <f t="shared" si="48"/>
        <v>97.199999999998454</v>
      </c>
      <c r="N613" s="58">
        <f t="shared" si="47"/>
        <v>0.28806584362156329</v>
      </c>
    </row>
    <row r="614" spans="10:14" x14ac:dyDescent="0.2">
      <c r="J614" s="58">
        <f t="shared" si="49"/>
        <v>2.8299129122320585</v>
      </c>
      <c r="K614" s="58">
        <f t="shared" si="50"/>
        <v>4.9111328849495193</v>
      </c>
      <c r="L614" s="58">
        <f t="shared" si="51"/>
        <v>8.0160027124281594</v>
      </c>
      <c r="M614" s="2">
        <f t="shared" si="48"/>
        <v>97.299999999998448</v>
      </c>
      <c r="N614" s="58">
        <f t="shared" si="47"/>
        <v>0.27749229188094482</v>
      </c>
    </row>
    <row r="615" spans="10:14" x14ac:dyDescent="0.2">
      <c r="J615" s="58">
        <f t="shared" si="49"/>
        <v>2.8409197334946525</v>
      </c>
      <c r="K615" s="58">
        <f t="shared" si="50"/>
        <v>4.9227616607815872</v>
      </c>
      <c r="L615" s="58">
        <f t="shared" si="51"/>
        <v>8.0280021726502184</v>
      </c>
      <c r="M615" s="2">
        <f t="shared" si="48"/>
        <v>97.399999999998442</v>
      </c>
      <c r="N615" s="58">
        <f t="shared" si="47"/>
        <v>0.26694045174554404</v>
      </c>
    </row>
    <row r="616" spans="10:14" x14ac:dyDescent="0.2">
      <c r="J616" s="58">
        <f t="shared" si="49"/>
        <v>2.8519620121304738</v>
      </c>
      <c r="K616" s="58">
        <f t="shared" si="50"/>
        <v>4.9344042274969366</v>
      </c>
      <c r="L616" s="58">
        <f t="shared" si="51"/>
        <v>8.0400016926798941</v>
      </c>
      <c r="M616" s="2">
        <f t="shared" si="48"/>
        <v>97.499999999998437</v>
      </c>
      <c r="N616" s="58">
        <f t="shared" si="47"/>
        <v>0.2564102564104207</v>
      </c>
    </row>
    <row r="617" spans="10:14" x14ac:dyDescent="0.2">
      <c r="J617" s="58">
        <f t="shared" si="49"/>
        <v>2.863039898710678</v>
      </c>
      <c r="K617" s="58">
        <f t="shared" si="50"/>
        <v>4.9460606017084441</v>
      </c>
      <c r="L617" s="58">
        <f t="shared" si="51"/>
        <v>8.052001269315797</v>
      </c>
      <c r="M617" s="2">
        <f t="shared" si="48"/>
        <v>97.599999999998431</v>
      </c>
      <c r="N617" s="58">
        <f t="shared" ref="N617:N639" si="52">IF(M617&gt;0,1000/M617-10,1000)</f>
        <v>0.24590163934442621</v>
      </c>
    </row>
    <row r="618" spans="10:14" x14ac:dyDescent="0.2">
      <c r="J618" s="58">
        <f t="shared" si="49"/>
        <v>2.8741535447400759</v>
      </c>
      <c r="K618" s="58">
        <f t="shared" si="50"/>
        <v>4.9577308000843416</v>
      </c>
      <c r="L618" s="58">
        <f t="shared" si="51"/>
        <v>8.0640008993701393</v>
      </c>
      <c r="M618" s="2">
        <f t="shared" si="48"/>
        <v>97.699999999998425</v>
      </c>
      <c r="N618" s="58">
        <f t="shared" si="52"/>
        <v>0.23541453428880388</v>
      </c>
    </row>
    <row r="619" spans="10:14" x14ac:dyDescent="0.2">
      <c r="J619" s="58">
        <f t="shared" si="49"/>
        <v>2.8853031026639635</v>
      </c>
      <c r="K619" s="58">
        <f t="shared" si="50"/>
        <v>4.9694148393482589</v>
      </c>
      <c r="L619" s="58">
        <f t="shared" si="51"/>
        <v>8.0760005796686549</v>
      </c>
      <c r="M619" s="2">
        <f t="shared" si="48"/>
        <v>97.79999999999842</v>
      </c>
      <c r="N619" s="58">
        <f t="shared" si="52"/>
        <v>0.2249488752557891</v>
      </c>
    </row>
    <row r="620" spans="10:14" x14ac:dyDescent="0.2">
      <c r="J620" s="58">
        <f t="shared" si="49"/>
        <v>2.8964887258749834</v>
      </c>
      <c r="K620" s="58">
        <f t="shared" si="50"/>
        <v>4.9811127362792504</v>
      </c>
      <c r="L620" s="58">
        <f t="shared" si="51"/>
        <v>8.0880003070505477</v>
      </c>
      <c r="M620" s="2">
        <f t="shared" si="48"/>
        <v>97.899999999998414</v>
      </c>
      <c r="N620" s="58">
        <f t="shared" si="52"/>
        <v>0.21450459652723453</v>
      </c>
    </row>
    <row r="621" spans="10:14" x14ac:dyDescent="0.2">
      <c r="J621" s="58">
        <f t="shared" si="49"/>
        <v>2.9077105687200819</v>
      </c>
      <c r="K621" s="58">
        <f t="shared" si="50"/>
        <v>4.9928245077118563</v>
      </c>
      <c r="L621" s="58">
        <f t="shared" si="51"/>
        <v>8.1000000783684101</v>
      </c>
      <c r="M621" s="2">
        <f t="shared" si="48"/>
        <v>97.999999999998408</v>
      </c>
      <c r="N621" s="58">
        <f t="shared" si="52"/>
        <v>0.20408163265322621</v>
      </c>
    </row>
    <row r="622" spans="10:14" x14ac:dyDescent="0.2">
      <c r="J622" s="58">
        <f t="shared" si="49"/>
        <v>2.9189687865074969</v>
      </c>
      <c r="K622" s="58">
        <f t="shared" si="50"/>
        <v>5.0045501705361231</v>
      </c>
      <c r="L622" s="58">
        <f t="shared" si="51"/>
        <v>8.1119998904881516</v>
      </c>
      <c r="M622" s="2">
        <f t="shared" si="48"/>
        <v>98.099999999998403</v>
      </c>
      <c r="N622" s="58">
        <f t="shared" si="52"/>
        <v>0.19367991845072652</v>
      </c>
    </row>
    <row r="623" spans="10:14" x14ac:dyDescent="0.2">
      <c r="J623" s="58">
        <f t="shared" si="49"/>
        <v>2.9302635355138467</v>
      </c>
      <c r="K623" s="58">
        <f t="shared" si="50"/>
        <v>5.0162897416976628</v>
      </c>
      <c r="L623" s="58">
        <f t="shared" si="51"/>
        <v>8.1239997402889426</v>
      </c>
      <c r="M623" s="2">
        <f t="shared" si="48"/>
        <v>98.199999999998397</v>
      </c>
      <c r="N623" s="58">
        <f t="shared" si="52"/>
        <v>0.18329938900220277</v>
      </c>
    </row>
    <row r="624" spans="10:14" x14ac:dyDescent="0.2">
      <c r="J624" s="58">
        <f t="shared" si="49"/>
        <v>2.9415949729912501</v>
      </c>
      <c r="K624" s="58">
        <f t="shared" si="50"/>
        <v>5.0280432381976912</v>
      </c>
      <c r="L624" s="58">
        <f t="shared" si="51"/>
        <v>8.1359996246631408</v>
      </c>
      <c r="M624" s="2">
        <f t="shared" si="48"/>
        <v>98.299999999998391</v>
      </c>
      <c r="N624" s="58">
        <f t="shared" si="52"/>
        <v>0.17293997965428609</v>
      </c>
    </row>
    <row r="625" spans="10:14" x14ac:dyDescent="0.2">
      <c r="J625" s="58">
        <f t="shared" si="49"/>
        <v>2.9529632571745292</v>
      </c>
      <c r="K625" s="58">
        <f t="shared" si="50"/>
        <v>5.0398106770930671</v>
      </c>
      <c r="L625" s="58">
        <f t="shared" si="51"/>
        <v>8.1479995405162242</v>
      </c>
      <c r="M625" s="2">
        <f t="shared" ref="M625:M639" si="53">M624+0.1</f>
        <v>98.399999999998386</v>
      </c>
      <c r="N625" s="58">
        <f t="shared" si="52"/>
        <v>0.16260162601642669</v>
      </c>
    </row>
    <row r="626" spans="10:14" x14ac:dyDescent="0.2">
      <c r="J626" s="58">
        <f t="shared" si="49"/>
        <v>2.9643685472884811</v>
      </c>
      <c r="K626" s="58">
        <f t="shared" si="50"/>
        <v>5.0515920754963437</v>
      </c>
      <c r="L626" s="58">
        <f t="shared" si="51"/>
        <v>8.1599994847667219</v>
      </c>
      <c r="M626" s="2">
        <f t="shared" si="53"/>
        <v>98.49999999999838</v>
      </c>
      <c r="N626" s="58">
        <f t="shared" si="52"/>
        <v>0.15228426395955807</v>
      </c>
    </row>
    <row r="627" spans="10:14" x14ac:dyDescent="0.2">
      <c r="J627" s="58">
        <f t="shared" si="49"/>
        <v>2.9758110035552066</v>
      </c>
      <c r="K627" s="58">
        <f t="shared" si="50"/>
        <v>5.0633874505758127</v>
      </c>
      <c r="L627" s="58">
        <f t="shared" si="51"/>
        <v>8.1719994543461514</v>
      </c>
      <c r="M627" s="2">
        <f t="shared" si="53"/>
        <v>98.599999999998374</v>
      </c>
      <c r="N627" s="58">
        <f t="shared" si="52"/>
        <v>0.14198782961477185</v>
      </c>
    </row>
    <row r="628" spans="10:14" x14ac:dyDescent="0.2">
      <c r="J628" s="58">
        <f t="shared" si="49"/>
        <v>2.98729078720151</v>
      </c>
      <c r="K628" s="58">
        <f t="shared" si="50"/>
        <v>5.0751968195555497</v>
      </c>
      <c r="L628" s="58">
        <f t="shared" si="51"/>
        <v>8.1839994461989569</v>
      </c>
      <c r="M628" s="2">
        <f t="shared" si="53"/>
        <v>98.699999999998369</v>
      </c>
      <c r="N628" s="58">
        <f t="shared" si="52"/>
        <v>0.13171225937200148</v>
      </c>
    </row>
    <row r="629" spans="10:14" x14ac:dyDescent="0.2">
      <c r="J629" s="58">
        <f t="shared" si="49"/>
        <v>2.9988080604663749</v>
      </c>
      <c r="K629" s="58">
        <f t="shared" si="50"/>
        <v>5.0870201997154609</v>
      </c>
      <c r="L629" s="58">
        <f t="shared" si="51"/>
        <v>8.1959994572824328</v>
      </c>
      <c r="M629" s="2">
        <f t="shared" si="53"/>
        <v>98.799999999998363</v>
      </c>
      <c r="N629" s="58">
        <f t="shared" si="52"/>
        <v>0.12145748987870952</v>
      </c>
    </row>
    <row r="630" spans="10:14" x14ac:dyDescent="0.2">
      <c r="J630" s="58">
        <f t="shared" si="49"/>
        <v>3.0103629866084938</v>
      </c>
      <c r="K630" s="58">
        <f t="shared" si="50"/>
        <v>5.0988576083913308</v>
      </c>
      <c r="L630" s="58">
        <f t="shared" si="51"/>
        <v>8.2079994845666668</v>
      </c>
      <c r="M630" s="2">
        <f t="shared" si="53"/>
        <v>98.899999999998357</v>
      </c>
      <c r="N630" s="58">
        <f t="shared" si="52"/>
        <v>0.11122345803859091</v>
      </c>
    </row>
    <row r="631" spans="10:14" x14ac:dyDescent="0.2">
      <c r="J631" s="58">
        <f t="shared" si="49"/>
        <v>3.0219557299138904</v>
      </c>
      <c r="K631" s="58">
        <f t="shared" si="50"/>
        <v>5.1107090629748777</v>
      </c>
      <c r="L631" s="58">
        <f t="shared" si="51"/>
        <v>8.2199995250344724</v>
      </c>
      <c r="M631" s="2">
        <f t="shared" si="53"/>
        <v>98.999999999998352</v>
      </c>
      <c r="N631" s="58">
        <f t="shared" si="52"/>
        <v>0.10101010101026908</v>
      </c>
    </row>
    <row r="632" spans="10:14" x14ac:dyDescent="0.2">
      <c r="J632" s="58">
        <f t="shared" si="49"/>
        <v>3.0335864557035839</v>
      </c>
      <c r="K632" s="58">
        <f t="shared" si="50"/>
        <v>5.1225745809137928</v>
      </c>
      <c r="L632" s="58">
        <f t="shared" si="51"/>
        <v>8.2319995756813285</v>
      </c>
      <c r="M632" s="2">
        <f t="shared" si="53"/>
        <v>99.099999999998346</v>
      </c>
      <c r="N632" s="58">
        <f t="shared" si="52"/>
        <v>9.0817356206020605E-2</v>
      </c>
    </row>
    <row r="633" spans="10:14" x14ac:dyDescent="0.2">
      <c r="J633" s="58">
        <f t="shared" si="49"/>
        <v>3.0452553303413512</v>
      </c>
      <c r="K633" s="58">
        <f t="shared" si="50"/>
        <v>5.1344541797117946</v>
      </c>
      <c r="L633" s="58">
        <f t="shared" si="51"/>
        <v>8.2439996335153047</v>
      </c>
      <c r="M633" s="2">
        <f t="shared" si="53"/>
        <v>99.19999999999834</v>
      </c>
      <c r="N633" s="58">
        <f t="shared" si="52"/>
        <v>8.0645161290490819E-2</v>
      </c>
    </row>
    <row r="634" spans="10:14" x14ac:dyDescent="0.2">
      <c r="J634" s="58">
        <f t="shared" si="49"/>
        <v>3.0569625212415428</v>
      </c>
      <c r="K634" s="58">
        <f t="shared" si="50"/>
        <v>5.1463478769286839</v>
      </c>
      <c r="L634" s="58">
        <f t="shared" si="51"/>
        <v>8.2559996955570085</v>
      </c>
      <c r="M634" s="2">
        <f t="shared" si="53"/>
        <v>99.299999999998334</v>
      </c>
      <c r="N634" s="58">
        <f t="shared" si="52"/>
        <v>7.0493454179423765E-2</v>
      </c>
    </row>
    <row r="635" spans="10:14" x14ac:dyDescent="0.2">
      <c r="J635" s="58">
        <f t="shared" si="49"/>
        <v>3.0687081968769849</v>
      </c>
      <c r="K635" s="58">
        <f t="shared" si="50"/>
        <v>5.1582556901803915</v>
      </c>
      <c r="L635" s="58">
        <f t="shared" si="51"/>
        <v>8.267999758839526</v>
      </c>
      <c r="M635" s="2">
        <f t="shared" si="53"/>
        <v>99.399999999998329</v>
      </c>
      <c r="N635" s="58">
        <f t="shared" si="52"/>
        <v>6.0362173038399192E-2</v>
      </c>
    </row>
    <row r="636" spans="10:14" x14ac:dyDescent="0.2">
      <c r="J636" s="58">
        <f t="shared" si="49"/>
        <v>3.080492526786947</v>
      </c>
      <c r="K636" s="58">
        <f t="shared" si="50"/>
        <v>5.1701776371390329</v>
      </c>
      <c r="L636" s="58">
        <f t="shared" si="51"/>
        <v>8.2799998204083423</v>
      </c>
      <c r="M636" s="2">
        <f t="shared" si="53"/>
        <v>99.499999999998323</v>
      </c>
      <c r="N636" s="58">
        <f t="shared" si="52"/>
        <v>5.0251256281576673E-2</v>
      </c>
    </row>
    <row r="637" spans="10:14" x14ac:dyDescent="0.2">
      <c r="J637" s="58">
        <f t="shared" si="49"/>
        <v>3.0923156815851813</v>
      </c>
      <c r="K637" s="58">
        <f t="shared" si="50"/>
        <v>5.1821137355329556</v>
      </c>
      <c r="L637" s="58">
        <f t="shared" si="51"/>
        <v>8.2919998773212935</v>
      </c>
      <c r="M637" s="2">
        <f t="shared" si="53"/>
        <v>99.599999999998317</v>
      </c>
      <c r="N637" s="58">
        <f t="shared" si="52"/>
        <v>4.0160642570450378E-2</v>
      </c>
    </row>
    <row r="638" spans="10:14" x14ac:dyDescent="0.2">
      <c r="J638" s="58">
        <f t="shared" si="49"/>
        <v>3.1041778329680469</v>
      </c>
      <c r="K638" s="58">
        <f t="shared" si="50"/>
        <v>5.1940640031468002</v>
      </c>
      <c r="L638" s="58">
        <f t="shared" si="51"/>
        <v>8.3039999266484976</v>
      </c>
      <c r="M638" s="2">
        <f t="shared" si="53"/>
        <v>99.699999999998312</v>
      </c>
      <c r="N638" s="58">
        <f t="shared" si="52"/>
        <v>3.00902708126074E-2</v>
      </c>
    </row>
    <row r="639" spans="10:14" x14ac:dyDescent="0.2">
      <c r="J639" s="58">
        <f t="shared" si="49"/>
        <v>3.1160791537227088</v>
      </c>
      <c r="K639" s="58">
        <f t="shared" si="50"/>
        <v>5.2060284578215548</v>
      </c>
      <c r="L639" s="58">
        <f t="shared" si="51"/>
        <v>8.3159999654722956</v>
      </c>
      <c r="M639" s="2">
        <f t="shared" si="53"/>
        <v>99.799999999998306</v>
      </c>
      <c r="N639" s="58">
        <f t="shared" si="52"/>
        <v>2.0040080160491414E-2</v>
      </c>
    </row>
  </sheetData>
  <mergeCells count="124">
    <mergeCell ref="A123:B124"/>
    <mergeCell ref="A164:B164"/>
    <mergeCell ref="A165:B166"/>
    <mergeCell ref="A167:B168"/>
    <mergeCell ref="A169:B170"/>
    <mergeCell ref="A173:C173"/>
    <mergeCell ref="A1:F1"/>
    <mergeCell ref="A156:B156"/>
    <mergeCell ref="A157:B158"/>
    <mergeCell ref="A159:B160"/>
    <mergeCell ref="A161:B162"/>
    <mergeCell ref="A155:F155"/>
    <mergeCell ref="A85:C85"/>
    <mergeCell ref="A64:C64"/>
    <mergeCell ref="A55:B56"/>
    <mergeCell ref="A57:B58"/>
    <mergeCell ref="A63:C63"/>
    <mergeCell ref="A59:B60"/>
    <mergeCell ref="A79:B80"/>
    <mergeCell ref="A81:B82"/>
    <mergeCell ref="A77:B78"/>
    <mergeCell ref="A67:F67"/>
    <mergeCell ref="A76:B76"/>
    <mergeCell ref="A111:F111"/>
    <mergeCell ref="A208:B208"/>
    <mergeCell ref="A174:C174"/>
    <mergeCell ref="A177:F177"/>
    <mergeCell ref="A186:B186"/>
    <mergeCell ref="A187:B188"/>
    <mergeCell ref="A189:B190"/>
    <mergeCell ref="A201:B202"/>
    <mergeCell ref="A203:B204"/>
    <mergeCell ref="A205:B206"/>
    <mergeCell ref="A191:B192"/>
    <mergeCell ref="A200:B200"/>
    <mergeCell ref="A195:C195"/>
    <mergeCell ref="A196:C196"/>
    <mergeCell ref="A199:F199"/>
    <mergeCell ref="A178:B178"/>
    <mergeCell ref="A179:B180"/>
    <mergeCell ref="A181:B182"/>
    <mergeCell ref="A183:B184"/>
    <mergeCell ref="A221:F221"/>
    <mergeCell ref="A230:B230"/>
    <mergeCell ref="A231:B232"/>
    <mergeCell ref="A233:B234"/>
    <mergeCell ref="A235:B236"/>
    <mergeCell ref="A209:B210"/>
    <mergeCell ref="A211:B212"/>
    <mergeCell ref="A213:B214"/>
    <mergeCell ref="A217:C217"/>
    <mergeCell ref="A218:C218"/>
    <mergeCell ref="A222:B222"/>
    <mergeCell ref="A223:B224"/>
    <mergeCell ref="A225:B226"/>
    <mergeCell ref="A227:B228"/>
    <mergeCell ref="A261:C261"/>
    <mergeCell ref="A262:C262"/>
    <mergeCell ref="A239:C239"/>
    <mergeCell ref="A240:C240"/>
    <mergeCell ref="A243:F243"/>
    <mergeCell ref="A252:B252"/>
    <mergeCell ref="A253:B254"/>
    <mergeCell ref="A244:B244"/>
    <mergeCell ref="A245:B246"/>
    <mergeCell ref="A247:B248"/>
    <mergeCell ref="A249:B250"/>
    <mergeCell ref="A255:B256"/>
    <mergeCell ref="A257:B258"/>
    <mergeCell ref="A98:B98"/>
    <mergeCell ref="A103:B104"/>
    <mergeCell ref="A121:B122"/>
    <mergeCell ref="A107:C107"/>
    <mergeCell ref="A108:C108"/>
    <mergeCell ref="A99:B100"/>
    <mergeCell ref="A101:B102"/>
    <mergeCell ref="A115:B116"/>
    <mergeCell ref="A69:B70"/>
    <mergeCell ref="A117:B118"/>
    <mergeCell ref="A112:B112"/>
    <mergeCell ref="A113:B114"/>
    <mergeCell ref="A90:B90"/>
    <mergeCell ref="A91:B92"/>
    <mergeCell ref="A93:B94"/>
    <mergeCell ref="A95:B96"/>
    <mergeCell ref="A120:B120"/>
    <mergeCell ref="J20:N20"/>
    <mergeCell ref="A45:F45"/>
    <mergeCell ref="A54:B54"/>
    <mergeCell ref="A46:B46"/>
    <mergeCell ref="A47:B48"/>
    <mergeCell ref="A49:B50"/>
    <mergeCell ref="A51:B52"/>
    <mergeCell ref="A86:C86"/>
    <mergeCell ref="A89:F89"/>
    <mergeCell ref="A68:B68"/>
    <mergeCell ref="A71:B72"/>
    <mergeCell ref="A73:B74"/>
    <mergeCell ref="A23:F23"/>
    <mergeCell ref="A24:B24"/>
    <mergeCell ref="A25:B26"/>
    <mergeCell ref="A27:B28"/>
    <mergeCell ref="A29:B30"/>
    <mergeCell ref="A32:B32"/>
    <mergeCell ref="A33:B34"/>
    <mergeCell ref="A35:B36"/>
    <mergeCell ref="A37:B38"/>
    <mergeCell ref="A41:C41"/>
    <mergeCell ref="A42:C42"/>
    <mergeCell ref="A21:F21"/>
    <mergeCell ref="A152:C152"/>
    <mergeCell ref="A125:B126"/>
    <mergeCell ref="A129:C129"/>
    <mergeCell ref="A130:C130"/>
    <mergeCell ref="A133:F133"/>
    <mergeCell ref="A142:B142"/>
    <mergeCell ref="A143:B144"/>
    <mergeCell ref="A145:B146"/>
    <mergeCell ref="A147:B148"/>
    <mergeCell ref="A151:C151"/>
    <mergeCell ref="A134:B134"/>
    <mergeCell ref="A135:B136"/>
    <mergeCell ref="A137:B138"/>
    <mergeCell ref="A139:B140"/>
  </mergeCells>
  <phoneticPr fontId="2" type="noConversion"/>
  <printOptions gridLines="1"/>
  <pageMargins left="0.75" right="0.75" top="1" bottom="1" header="0.5" footer="0.5"/>
  <pageSetup scale="59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ChannelFloodProtection">
                <anchor moveWithCells="1" sizeWithCells="1">
                  <from>
                    <xdr:col>4</xdr:col>
                    <xdr:colOff>723900</xdr:colOff>
                    <xdr:row>4</xdr:row>
                    <xdr:rowOff>47625</xdr:rowOff>
                  </from>
                  <to>
                    <xdr:col>5</xdr:col>
                    <xdr:colOff>657225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101"/>
  <sheetViews>
    <sheetView showGridLines="0" topLeftCell="A10" zoomScaleNormal="100" workbookViewId="0">
      <selection activeCell="B50" sqref="B50"/>
    </sheetView>
  </sheetViews>
  <sheetFormatPr defaultColWidth="8.85546875" defaultRowHeight="12.75" x14ac:dyDescent="0.2"/>
  <cols>
    <col min="1" max="1" width="2.5703125" style="2" customWidth="1"/>
    <col min="2" max="2" width="13.42578125" style="2" customWidth="1"/>
    <col min="3" max="3" width="35.140625" style="2" customWidth="1"/>
    <col min="4" max="4" width="27.5703125" style="2" customWidth="1"/>
    <col min="5" max="5" width="27.140625" style="2" customWidth="1"/>
    <col min="6" max="6" width="28.42578125" style="2" customWidth="1"/>
    <col min="7" max="7" width="3.42578125" style="2" customWidth="1"/>
    <col min="8" max="8" width="19.85546875" style="2" customWidth="1"/>
    <col min="9" max="9" width="11.42578125" style="3" customWidth="1"/>
    <col min="10" max="10" width="8.85546875" style="2"/>
    <col min="11" max="11" width="10.42578125" style="3" hidden="1" customWidth="1"/>
    <col min="12" max="12" width="34" style="4" customWidth="1"/>
    <col min="13" max="16384" width="8.85546875" style="2"/>
  </cols>
  <sheetData>
    <row r="1" spans="2:12" ht="18.75" customHeight="1" x14ac:dyDescent="0.25">
      <c r="B1" s="313" t="s">
        <v>142</v>
      </c>
      <c r="C1" s="313"/>
      <c r="D1" s="313"/>
      <c r="E1" s="313"/>
      <c r="F1" s="313"/>
      <c r="G1" s="313"/>
      <c r="H1" s="313"/>
      <c r="I1" s="313"/>
    </row>
    <row r="2" spans="2:12" ht="10.5" customHeight="1" x14ac:dyDescent="0.25">
      <c r="B2" s="63"/>
      <c r="C2" s="49"/>
      <c r="D2" s="49"/>
      <c r="E2" s="49"/>
      <c r="F2" s="49"/>
    </row>
    <row r="3" spans="2:12" ht="15" customHeight="1" x14ac:dyDescent="0.2">
      <c r="B3" s="8"/>
      <c r="C3" s="9" t="s">
        <v>0</v>
      </c>
      <c r="D3" s="49"/>
      <c r="E3" s="49"/>
      <c r="F3" s="49"/>
    </row>
    <row r="4" spans="2:12" ht="15" customHeight="1" x14ac:dyDescent="0.2">
      <c r="B4" s="10"/>
      <c r="C4" s="9" t="s">
        <v>1</v>
      </c>
      <c r="D4" s="49"/>
      <c r="E4" s="49"/>
      <c r="F4" s="49"/>
    </row>
    <row r="5" spans="2:12" ht="15" customHeight="1" x14ac:dyDescent="0.2">
      <c r="B5" s="11"/>
      <c r="C5" s="9" t="s">
        <v>2</v>
      </c>
      <c r="D5" s="49"/>
      <c r="E5" s="49"/>
      <c r="F5" s="49"/>
    </row>
    <row r="6" spans="2:12" ht="9.75" customHeight="1" x14ac:dyDescent="0.2">
      <c r="B6" s="72"/>
      <c r="C6" s="9"/>
      <c r="D6" s="49"/>
      <c r="E6" s="49"/>
      <c r="F6" s="49"/>
    </row>
    <row r="7" spans="2:12" ht="18" x14ac:dyDescent="0.25">
      <c r="B7" s="5" t="s">
        <v>5</v>
      </c>
      <c r="D7" s="296" t="s">
        <v>253</v>
      </c>
      <c r="E7" s="66"/>
      <c r="F7" s="1"/>
    </row>
    <row r="8" spans="2:12" ht="9.75" customHeight="1" x14ac:dyDescent="0.25">
      <c r="B8" s="5"/>
      <c r="E8" s="1"/>
      <c r="F8" s="1"/>
    </row>
    <row r="9" spans="2:12" ht="15.75" x14ac:dyDescent="0.25">
      <c r="B9" s="6" t="s">
        <v>4</v>
      </c>
      <c r="C9" s="318"/>
      <c r="D9" s="319"/>
      <c r="E9" s="319"/>
      <c r="F9" s="320"/>
      <c r="H9" s="31"/>
      <c r="I9" s="31"/>
    </row>
    <row r="10" spans="2:12" ht="9.75" customHeight="1" x14ac:dyDescent="0.25">
      <c r="B10" s="6"/>
      <c r="C10" s="192"/>
      <c r="D10" s="192"/>
      <c r="E10" s="192"/>
      <c r="F10" s="192"/>
      <c r="G10" s="192"/>
      <c r="H10" s="31"/>
      <c r="I10" s="31"/>
    </row>
    <row r="11" spans="2:12" x14ac:dyDescent="0.2">
      <c r="B11" s="7"/>
    </row>
    <row r="12" spans="2:12" ht="15" x14ac:dyDescent="0.25">
      <c r="C12" s="314" t="s">
        <v>19</v>
      </c>
      <c r="D12" s="314"/>
      <c r="E12" s="314"/>
    </row>
    <row r="13" spans="2:12" x14ac:dyDescent="0.2">
      <c r="C13" s="315" t="s">
        <v>141</v>
      </c>
      <c r="D13" s="316"/>
      <c r="E13" s="66"/>
    </row>
    <row r="14" spans="2:12" x14ac:dyDescent="0.2">
      <c r="C14" s="315" t="s">
        <v>204</v>
      </c>
      <c r="D14" s="316"/>
      <c r="E14" s="66"/>
    </row>
    <row r="15" spans="2:12" x14ac:dyDescent="0.2">
      <c r="C15" s="317" t="s">
        <v>92</v>
      </c>
      <c r="D15" s="316"/>
      <c r="E15" s="97" t="str">
        <f>IF(E13="Yes",1.7,"NA")</f>
        <v>NA</v>
      </c>
      <c r="J15" s="229"/>
      <c r="K15" s="229"/>
      <c r="L15" s="40"/>
    </row>
    <row r="16" spans="2:12" x14ac:dyDescent="0.2">
      <c r="B16" s="28"/>
      <c r="C16" s="28"/>
      <c r="D16" s="23"/>
      <c r="E16" s="23"/>
      <c r="F16" s="23"/>
      <c r="G16" s="14"/>
      <c r="J16" s="40"/>
      <c r="K16" s="39"/>
      <c r="L16" s="39"/>
    </row>
    <row r="17" spans="3:12" ht="15" x14ac:dyDescent="0.25">
      <c r="D17" s="314" t="s">
        <v>215</v>
      </c>
      <c r="E17" s="314"/>
    </row>
    <row r="18" spans="3:12" x14ac:dyDescent="0.2">
      <c r="C18" s="252"/>
      <c r="D18" s="253" t="s">
        <v>188</v>
      </c>
      <c r="E18" s="253" t="s">
        <v>218</v>
      </c>
    </row>
    <row r="19" spans="3:12" x14ac:dyDescent="0.2">
      <c r="C19" s="87" t="s">
        <v>31</v>
      </c>
      <c r="D19" s="253" t="s">
        <v>52</v>
      </c>
      <c r="E19" s="253" t="s">
        <v>52</v>
      </c>
      <c r="I19" s="2"/>
      <c r="K19" s="2"/>
      <c r="L19" s="2"/>
    </row>
    <row r="20" spans="3:12" x14ac:dyDescent="0.2">
      <c r="C20" s="96" t="s">
        <v>24</v>
      </c>
      <c r="D20" s="157"/>
      <c r="E20" s="157"/>
      <c r="I20" s="2"/>
      <c r="K20" s="2"/>
      <c r="L20" s="2"/>
    </row>
    <row r="21" spans="3:12" x14ac:dyDescent="0.2">
      <c r="C21" s="186" t="s">
        <v>30</v>
      </c>
      <c r="D21" s="157"/>
      <c r="E21" s="157"/>
      <c r="F21" s="3"/>
      <c r="H21" s="3"/>
      <c r="I21" s="2"/>
      <c r="K21" s="2"/>
      <c r="L21" s="2"/>
    </row>
    <row r="22" spans="3:12" x14ac:dyDescent="0.2">
      <c r="C22" s="164" t="s">
        <v>13</v>
      </c>
      <c r="D22" s="157"/>
      <c r="E22" s="157"/>
      <c r="F22" s="3"/>
      <c r="H22" s="3"/>
      <c r="I22" s="2"/>
      <c r="K22" s="2"/>
      <c r="L22" s="2"/>
    </row>
    <row r="23" spans="3:12" x14ac:dyDescent="0.2">
      <c r="C23" s="99" t="s">
        <v>73</v>
      </c>
      <c r="D23" s="157"/>
      <c r="E23" s="157"/>
      <c r="F23" s="3"/>
      <c r="H23" s="3"/>
      <c r="I23" s="2"/>
      <c r="K23" s="2"/>
      <c r="L23" s="2"/>
    </row>
    <row r="24" spans="3:12" x14ac:dyDescent="0.2">
      <c r="C24" s="99" t="s">
        <v>55</v>
      </c>
      <c r="D24" s="137">
        <f>SUM(D20:D23)</f>
        <v>0</v>
      </c>
      <c r="E24" s="137">
        <f>SUM(E20:E23)</f>
        <v>0</v>
      </c>
      <c r="F24" s="3"/>
      <c r="H24" s="3"/>
      <c r="I24" s="2"/>
      <c r="K24" s="2"/>
      <c r="L24" s="2"/>
    </row>
    <row r="25" spans="3:12" x14ac:dyDescent="0.2">
      <c r="D25" s="13"/>
      <c r="E25" s="14"/>
      <c r="H25" s="3"/>
      <c r="I25" s="2"/>
      <c r="K25" s="2"/>
      <c r="L25" s="2"/>
    </row>
    <row r="26" spans="3:12" ht="15" x14ac:dyDescent="0.25">
      <c r="D26" s="314" t="s">
        <v>216</v>
      </c>
      <c r="E26" s="314"/>
      <c r="F26" s="314"/>
    </row>
    <row r="27" spans="3:12" x14ac:dyDescent="0.2">
      <c r="C27" s="187"/>
      <c r="D27" s="235" t="s">
        <v>188</v>
      </c>
      <c r="E27" s="235" t="s">
        <v>85</v>
      </c>
      <c r="F27" s="87" t="s">
        <v>86</v>
      </c>
    </row>
    <row r="28" spans="3:12" x14ac:dyDescent="0.2">
      <c r="C28" s="87" t="s">
        <v>31</v>
      </c>
      <c r="D28" s="19" t="s">
        <v>52</v>
      </c>
      <c r="E28" s="189" t="s">
        <v>52</v>
      </c>
      <c r="F28" s="228" t="s">
        <v>52</v>
      </c>
      <c r="I28" s="2"/>
      <c r="K28" s="2"/>
      <c r="L28" s="2"/>
    </row>
    <row r="29" spans="3:12" x14ac:dyDescent="0.2">
      <c r="C29" s="96" t="s">
        <v>24</v>
      </c>
      <c r="D29" s="157"/>
      <c r="E29" s="157"/>
      <c r="F29" s="157"/>
      <c r="I29" s="2"/>
      <c r="K29" s="2"/>
      <c r="L29" s="2"/>
    </row>
    <row r="30" spans="3:12" x14ac:dyDescent="0.2">
      <c r="C30" s="186" t="s">
        <v>30</v>
      </c>
      <c r="D30" s="157"/>
      <c r="E30" s="157"/>
      <c r="F30" s="157"/>
      <c r="H30" s="3"/>
      <c r="I30" s="2"/>
      <c r="K30" s="2"/>
      <c r="L30" s="2"/>
    </row>
    <row r="31" spans="3:12" x14ac:dyDescent="0.2">
      <c r="C31" s="164" t="s">
        <v>13</v>
      </c>
      <c r="D31" s="157"/>
      <c r="E31" s="157"/>
      <c r="F31" s="157"/>
      <c r="H31" s="3"/>
      <c r="I31" s="2"/>
      <c r="K31" s="2"/>
      <c r="L31" s="2"/>
    </row>
    <row r="32" spans="3:12" x14ac:dyDescent="0.2">
      <c r="C32" s="99" t="s">
        <v>73</v>
      </c>
      <c r="D32" s="157"/>
      <c r="E32" s="157"/>
      <c r="F32" s="157"/>
      <c r="H32" s="3"/>
      <c r="I32" s="2"/>
      <c r="K32" s="89">
        <f>SUM(D31:F32)</f>
        <v>0</v>
      </c>
      <c r="L32" s="2"/>
    </row>
    <row r="33" spans="2:12" x14ac:dyDescent="0.2">
      <c r="C33" s="99" t="s">
        <v>55</v>
      </c>
      <c r="D33" s="137">
        <f>SUM(D29:D32)</f>
        <v>0</v>
      </c>
      <c r="E33" s="137">
        <f>SUM(E29:E32)</f>
        <v>0</v>
      </c>
      <c r="F33" s="137">
        <f>SUM(F29:F32)</f>
        <v>0</v>
      </c>
      <c r="H33" s="3"/>
      <c r="I33" s="2"/>
      <c r="K33" s="2"/>
      <c r="L33" s="2"/>
    </row>
    <row r="34" spans="2:12" x14ac:dyDescent="0.2">
      <c r="C34" s="251" t="s">
        <v>189</v>
      </c>
      <c r="D34" s="250">
        <f>IF($D$33&gt;=5000,1.2,IF(AND(0&lt;$D$33,$D$33&lt;5000,($D$33+$E$33+$F$33)&gt;=5000),1.2,0))</f>
        <v>0</v>
      </c>
      <c r="E34" s="250">
        <f>IF(AND(($D$33+$E$33)&gt;=5000,OR($E$20&lt;&gt;0,$K$32&gt;=2500)),1.2,IF(E13="Yes",IF(AND(0&lt;$E$33,($D$33+$E$33)&lt;5000,($D$33+$E$33+$F$33)&gt;=5000,OR($E$20&lt;&gt;0,$K$32&gt;=2500)),1,0),IF(AND(0&lt;$E$33,($D$33+$E$33)&lt;5000,($D$33+$E$33+$F$33)&gt;=5000,OR($E$20&lt;&gt;0,$K$32&gt;=2500)),0.8,0)))</f>
        <v>0</v>
      </c>
      <c r="F34" s="250">
        <f>IF(E13="Yes",IF($F$33&gt;=5000,1,IF(AND($F$33&gt;0,$F$33&lt;5000,($D$33+$F$33+$E$33)&gt;=5000,OR($E$20&lt;&gt;0,$K$32&gt;=2500)),1,0)),IF($F$33&gt;=5000,0.8,IF(AND($F$33&gt;0,$F$33&lt;5000,($D$33+$F$33+$E$33)&gt;=5000,OR($E$20&lt;&gt;0,$K$32&gt;=2500)),0.8,0)))</f>
        <v>0</v>
      </c>
      <c r="H34" s="3"/>
      <c r="I34" s="2"/>
      <c r="K34" s="2"/>
      <c r="L34" s="2"/>
    </row>
    <row r="35" spans="2:12" x14ac:dyDescent="0.2">
      <c r="D35" s="13"/>
      <c r="E35" s="14"/>
      <c r="H35" s="3"/>
      <c r="I35" s="2"/>
      <c r="K35" s="2"/>
      <c r="L35" s="2"/>
    </row>
    <row r="36" spans="2:12" ht="15" x14ac:dyDescent="0.25">
      <c r="D36" s="314" t="s">
        <v>217</v>
      </c>
      <c r="E36" s="314"/>
      <c r="F36" s="314"/>
      <c r="I36" s="2"/>
      <c r="K36" s="2"/>
      <c r="L36" s="2"/>
    </row>
    <row r="37" spans="2:12" ht="25.5" x14ac:dyDescent="0.2">
      <c r="C37" s="87" t="s">
        <v>31</v>
      </c>
      <c r="D37" s="235" t="s">
        <v>188</v>
      </c>
      <c r="E37" s="235" t="s">
        <v>85</v>
      </c>
      <c r="F37" s="248" t="s">
        <v>86</v>
      </c>
      <c r="H37" s="312" t="s">
        <v>12</v>
      </c>
      <c r="I37" s="312"/>
      <c r="K37" s="2"/>
      <c r="L37" s="2"/>
    </row>
    <row r="38" spans="2:12" x14ac:dyDescent="0.2">
      <c r="C38" s="120" t="s">
        <v>22</v>
      </c>
      <c r="D38" s="100">
        <f>IFERROR(D29/D33,0)</f>
        <v>0</v>
      </c>
      <c r="E38" s="100">
        <f>IFERROR(E29/E33,0)</f>
        <v>0</v>
      </c>
      <c r="F38" s="100">
        <f>IFERROR(F29/F33,0)</f>
        <v>0</v>
      </c>
      <c r="H38" s="18" t="s">
        <v>10</v>
      </c>
      <c r="I38" s="19" t="s">
        <v>20</v>
      </c>
      <c r="K38" s="2"/>
      <c r="L38" s="2"/>
    </row>
    <row r="39" spans="2:12" s="23" customFormat="1" x14ac:dyDescent="0.2">
      <c r="C39" s="191" t="s">
        <v>95</v>
      </c>
      <c r="D39" s="100">
        <f>IFERROR(D30/D33,0)</f>
        <v>0</v>
      </c>
      <c r="E39" s="100">
        <f>IFERROR(E30/E33,0)</f>
        <v>0</v>
      </c>
      <c r="F39" s="100">
        <f>IFERROR(F30/F33,0)</f>
        <v>0</v>
      </c>
      <c r="H39" s="78" t="s">
        <v>24</v>
      </c>
      <c r="I39" s="71">
        <v>0</v>
      </c>
    </row>
    <row r="40" spans="2:12" x14ac:dyDescent="0.2">
      <c r="C40" s="120" t="s">
        <v>23</v>
      </c>
      <c r="D40" s="100">
        <f>IFERROR(SUM(D31:D32)/D33,0)</f>
        <v>0</v>
      </c>
      <c r="E40" s="100">
        <f>IFERROR(SUM(E31:E32)/E33,0)</f>
        <v>0</v>
      </c>
      <c r="F40" s="100">
        <f>IFERROR(SUM(F31:F32)/F33,0)</f>
        <v>0</v>
      </c>
      <c r="H40" s="46" t="s">
        <v>30</v>
      </c>
      <c r="I40" s="71">
        <v>0.25</v>
      </c>
    </row>
    <row r="41" spans="2:12" x14ac:dyDescent="0.2">
      <c r="C41" s="117" t="s">
        <v>15</v>
      </c>
      <c r="D41" s="101">
        <f>$I$39*D38+$I$40*D39+$I$41*D40</f>
        <v>0</v>
      </c>
      <c r="E41" s="101">
        <f>$I$39*E38+$I$40*E39+$I$41*E40</f>
        <v>0</v>
      </c>
      <c r="F41" s="101">
        <f>$I$39*F38+$I$40*F39+$I$41*F40</f>
        <v>0</v>
      </c>
      <c r="H41" s="46" t="s">
        <v>13</v>
      </c>
      <c r="I41" s="71">
        <v>0.95</v>
      </c>
      <c r="K41" s="2"/>
      <c r="L41" s="2"/>
    </row>
    <row r="42" spans="2:12" x14ac:dyDescent="0.2">
      <c r="C42" s="83"/>
      <c r="D42" s="72"/>
      <c r="E42" s="72"/>
      <c r="F42" s="118"/>
      <c r="I42" s="4"/>
      <c r="K42" s="2"/>
      <c r="L42" s="2"/>
    </row>
    <row r="43" spans="2:12" ht="15" x14ac:dyDescent="0.25">
      <c r="D43" s="314" t="s">
        <v>96</v>
      </c>
      <c r="E43" s="314"/>
      <c r="F43" s="118"/>
      <c r="I43" s="4"/>
      <c r="K43" s="2"/>
      <c r="L43" s="2"/>
    </row>
    <row r="44" spans="2:12" x14ac:dyDescent="0.2">
      <c r="B44" s="83"/>
      <c r="D44" s="235" t="s">
        <v>188</v>
      </c>
      <c r="E44" s="235" t="s">
        <v>94</v>
      </c>
      <c r="F44" s="14"/>
      <c r="H44" s="3"/>
      <c r="I44" s="2"/>
      <c r="J44" s="3"/>
      <c r="K44" s="4"/>
      <c r="L44" s="2"/>
    </row>
    <row r="45" spans="2:12" x14ac:dyDescent="0.2">
      <c r="B45" s="321" t="s">
        <v>47</v>
      </c>
      <c r="C45" s="322"/>
      <c r="D45" s="67">
        <f>D34/12*D41*D33</f>
        <v>0</v>
      </c>
      <c r="E45" s="67">
        <f>E33*E34/12*E41+F33*F34/12*F41</f>
        <v>0</v>
      </c>
      <c r="F45" s="14"/>
      <c r="H45" s="3"/>
      <c r="I45" s="28"/>
      <c r="J45" s="141"/>
      <c r="K45" s="119"/>
      <c r="L45" s="2"/>
    </row>
    <row r="46" spans="2:12" x14ac:dyDescent="0.2">
      <c r="B46" s="321" t="s">
        <v>74</v>
      </c>
      <c r="C46" s="322"/>
      <c r="D46" s="190">
        <f>D45*7.48</f>
        <v>0</v>
      </c>
      <c r="E46" s="190">
        <f>E45*7.48</f>
        <v>0</v>
      </c>
      <c r="F46" s="14"/>
      <c r="H46" s="3"/>
      <c r="I46" s="28"/>
      <c r="J46" s="141"/>
      <c r="K46" s="119"/>
      <c r="L46" s="2"/>
    </row>
    <row r="47" spans="2:12" x14ac:dyDescent="0.2">
      <c r="B47" s="321" t="s">
        <v>91</v>
      </c>
      <c r="C47" s="322"/>
      <c r="D47" s="67" t="str">
        <f>IF($E$13="Yes",1.7/12*D33*D41-D45,"NA")</f>
        <v>NA</v>
      </c>
      <c r="E47" s="67" t="str">
        <f>IF($E$13="Yes",1.7/12*(E33*E41+F33*F41)-E45,"NA")</f>
        <v>NA</v>
      </c>
      <c r="F47" s="14"/>
      <c r="H47" s="3"/>
      <c r="I47" s="28"/>
      <c r="J47" s="141"/>
      <c r="K47" s="119"/>
      <c r="L47" s="2"/>
    </row>
    <row r="48" spans="2:12" x14ac:dyDescent="0.2">
      <c r="B48" s="321" t="s">
        <v>93</v>
      </c>
      <c r="C48" s="322"/>
      <c r="D48" s="67" t="str">
        <f>IF(D47="NA","NA",D47*7.48)</f>
        <v>NA</v>
      </c>
      <c r="E48" s="67" t="str">
        <f>IF(E47="NA","NA",E47*7.48)</f>
        <v>NA</v>
      </c>
      <c r="F48" s="14"/>
      <c r="H48" s="3"/>
      <c r="I48" s="28"/>
      <c r="J48" s="141"/>
      <c r="K48" s="119"/>
      <c r="L48" s="2"/>
    </row>
    <row r="49" spans="2:21" x14ac:dyDescent="0.2">
      <c r="B49" s="249"/>
      <c r="C49" s="249"/>
      <c r="D49" s="72"/>
      <c r="E49" s="72"/>
      <c r="F49" s="14"/>
      <c r="H49" s="3"/>
      <c r="I49" s="28"/>
      <c r="J49" s="141"/>
      <c r="K49" s="119"/>
      <c r="L49" s="2"/>
    </row>
    <row r="50" spans="2:21" x14ac:dyDescent="0.2">
      <c r="B50" s="188"/>
      <c r="C50" s="188"/>
      <c r="D50" s="188"/>
      <c r="E50" s="23"/>
      <c r="F50" s="23"/>
      <c r="G50" s="14"/>
      <c r="J50" s="28"/>
      <c r="K50" s="141"/>
      <c r="L50" s="119"/>
    </row>
    <row r="51" spans="2:21" hidden="1" x14ac:dyDescent="0.2">
      <c r="B51" s="256"/>
      <c r="C51" s="256"/>
      <c r="D51" s="9" t="s">
        <v>29</v>
      </c>
      <c r="E51" s="23"/>
      <c r="F51" s="23"/>
      <c r="G51" s="14"/>
      <c r="J51" s="28"/>
      <c r="K51" s="141"/>
      <c r="L51" s="119"/>
    </row>
    <row r="52" spans="2:21" hidden="1" x14ac:dyDescent="0.2">
      <c r="B52" s="256"/>
      <c r="C52" s="256"/>
      <c r="D52" s="167" t="s">
        <v>16</v>
      </c>
      <c r="E52" s="23"/>
      <c r="F52" s="23"/>
      <c r="G52" s="14"/>
      <c r="J52" s="28"/>
      <c r="K52" s="141"/>
      <c r="L52" s="119"/>
    </row>
    <row r="53" spans="2:21" ht="12.75" hidden="1" customHeight="1" x14ac:dyDescent="0.25">
      <c r="B53" s="60"/>
      <c r="C53" s="14"/>
      <c r="D53" s="9" t="s">
        <v>203</v>
      </c>
      <c r="F53" s="323"/>
      <c r="G53" s="323"/>
      <c r="H53" s="121"/>
      <c r="J53" s="28"/>
      <c r="K53" s="142"/>
      <c r="L53" s="28"/>
    </row>
    <row r="54" spans="2:21" hidden="1" x14ac:dyDescent="0.2">
      <c r="B54" s="17"/>
      <c r="C54" s="69"/>
      <c r="D54" s="167" t="s">
        <v>205</v>
      </c>
      <c r="F54" s="173"/>
      <c r="G54" s="173"/>
      <c r="H54" s="121"/>
      <c r="J54" s="28"/>
      <c r="K54" s="142"/>
      <c r="L54" s="28"/>
    </row>
    <row r="55" spans="2:21" hidden="1" x14ac:dyDescent="0.2">
      <c r="B55" s="20"/>
      <c r="C55" s="43"/>
      <c r="D55" s="167" t="s">
        <v>206</v>
      </c>
      <c r="F55" s="323"/>
      <c r="G55" s="323"/>
      <c r="H55" s="122"/>
      <c r="J55" s="40"/>
      <c r="K55" s="51"/>
      <c r="L55" s="39"/>
    </row>
    <row r="56" spans="2:21" x14ac:dyDescent="0.2">
      <c r="B56" s="21"/>
      <c r="C56" s="61"/>
      <c r="D56" s="167"/>
      <c r="E56" s="15"/>
      <c r="F56"/>
      <c r="G56"/>
      <c r="H56"/>
      <c r="J56" s="28"/>
      <c r="K56" s="141"/>
      <c r="L56" s="119"/>
    </row>
    <row r="57" spans="2:21" x14ac:dyDescent="0.2">
      <c r="B57" s="20"/>
      <c r="C57" s="69"/>
      <c r="D57" s="211"/>
      <c r="E57" s="16"/>
      <c r="F57"/>
      <c r="G57"/>
      <c r="H57"/>
      <c r="I57" s="58"/>
      <c r="J57" s="23"/>
      <c r="K57" s="141"/>
      <c r="L57" s="119"/>
    </row>
    <row r="58" spans="2:21" x14ac:dyDescent="0.2">
      <c r="B58" s="20"/>
      <c r="C58" s="69"/>
      <c r="D58" s="69"/>
      <c r="E58" s="69"/>
      <c r="F58" s="69"/>
      <c r="G58" s="25"/>
      <c r="H58" s="23"/>
      <c r="I58" s="4"/>
      <c r="K58" s="23"/>
    </row>
    <row r="59" spans="2:21" x14ac:dyDescent="0.2">
      <c r="B59" s="20"/>
      <c r="C59" s="69"/>
      <c r="D59" s="69"/>
      <c r="E59" s="14"/>
      <c r="F59" s="14"/>
      <c r="G59" s="16"/>
      <c r="K59" s="2"/>
    </row>
    <row r="60" spans="2:21" x14ac:dyDescent="0.2">
      <c r="B60" s="23"/>
      <c r="C60" s="23"/>
      <c r="D60" s="23"/>
      <c r="E60" s="69"/>
      <c r="F60" s="69"/>
      <c r="G60" s="16"/>
      <c r="K60" s="2"/>
    </row>
    <row r="61" spans="2:21" x14ac:dyDescent="0.2">
      <c r="B61" s="23"/>
      <c r="C61" s="23"/>
      <c r="D61" s="23"/>
      <c r="E61" s="69"/>
      <c r="F61" s="69"/>
      <c r="G61" s="16"/>
      <c r="K61" s="2"/>
      <c r="L61" s="3"/>
      <c r="N61" s="3"/>
      <c r="O61" s="3"/>
      <c r="P61" s="3"/>
      <c r="Q61" s="3"/>
      <c r="R61" s="3"/>
      <c r="S61" s="3"/>
      <c r="U61" s="4"/>
    </row>
    <row r="62" spans="2:21" x14ac:dyDescent="0.2">
      <c r="B62" s="23"/>
      <c r="C62" s="23"/>
      <c r="D62" s="23"/>
      <c r="E62" s="69"/>
      <c r="F62" s="69"/>
      <c r="G62" s="16"/>
      <c r="K62" s="2"/>
    </row>
    <row r="63" spans="2:21" x14ac:dyDescent="0.2">
      <c r="B63" s="23"/>
      <c r="C63" s="23"/>
      <c r="D63" s="23"/>
      <c r="E63" s="69"/>
      <c r="F63" s="69"/>
      <c r="G63" s="16"/>
      <c r="K63" s="2"/>
    </row>
    <row r="64" spans="2:21" x14ac:dyDescent="0.2">
      <c r="B64" s="23"/>
      <c r="C64" s="23"/>
      <c r="D64" s="23"/>
      <c r="E64" s="69"/>
      <c r="F64" s="25"/>
      <c r="G64" s="16"/>
      <c r="K64" s="2"/>
    </row>
    <row r="65" spans="2:12" ht="18" x14ac:dyDescent="0.25">
      <c r="B65" s="73"/>
      <c r="C65" s="69"/>
      <c r="D65" s="69"/>
      <c r="E65" s="69"/>
      <c r="F65" s="25"/>
      <c r="G65" s="16"/>
      <c r="K65" s="2"/>
    </row>
    <row r="66" spans="2:12" x14ac:dyDescent="0.2">
      <c r="B66" s="17"/>
      <c r="C66" s="69"/>
      <c r="D66" s="69"/>
      <c r="E66" s="23"/>
      <c r="F66" s="23"/>
      <c r="G66" s="16"/>
      <c r="K66" s="2"/>
    </row>
    <row r="67" spans="2:12" x14ac:dyDescent="0.2">
      <c r="B67" s="17"/>
      <c r="C67" s="69"/>
      <c r="D67" s="69"/>
      <c r="E67" s="23"/>
      <c r="F67" s="23"/>
      <c r="G67" s="16"/>
      <c r="K67" s="2"/>
    </row>
    <row r="68" spans="2:12" x14ac:dyDescent="0.2">
      <c r="B68" s="20"/>
      <c r="C68" s="15"/>
      <c r="D68" s="15"/>
      <c r="E68" s="23"/>
      <c r="F68" s="23"/>
      <c r="G68" s="16"/>
      <c r="K68" s="2"/>
    </row>
    <row r="69" spans="2:12" x14ac:dyDescent="0.2">
      <c r="B69" s="20"/>
      <c r="C69" s="16"/>
      <c r="D69" s="16"/>
      <c r="E69" s="23"/>
      <c r="F69" s="23"/>
      <c r="G69" s="16"/>
      <c r="K69" s="2"/>
    </row>
    <row r="70" spans="2:12" x14ac:dyDescent="0.2">
      <c r="B70" s="20"/>
      <c r="C70" s="69"/>
      <c r="D70" s="69"/>
      <c r="E70" s="23"/>
      <c r="F70" s="23"/>
      <c r="G70" s="16"/>
      <c r="K70" s="2"/>
    </row>
    <row r="71" spans="2:12" x14ac:dyDescent="0.2">
      <c r="B71" s="23"/>
      <c r="C71" s="69"/>
      <c r="D71" s="69"/>
      <c r="E71" s="69"/>
      <c r="F71" s="69"/>
      <c r="G71" s="16"/>
      <c r="H71" s="14"/>
      <c r="I71" s="48"/>
      <c r="K71" s="14"/>
    </row>
    <row r="72" spans="2:12" x14ac:dyDescent="0.2">
      <c r="B72" s="20"/>
      <c r="C72" s="69"/>
      <c r="D72" s="69"/>
      <c r="E72" s="69"/>
      <c r="F72" s="69"/>
      <c r="G72" s="16"/>
      <c r="H72" s="14"/>
      <c r="I72" s="48"/>
      <c r="K72" s="14"/>
    </row>
    <row r="73" spans="2:12" x14ac:dyDescent="0.2">
      <c r="B73" s="17"/>
      <c r="C73" s="69"/>
      <c r="D73" s="15"/>
      <c r="E73" s="69"/>
      <c r="F73" s="69"/>
      <c r="G73" s="16"/>
      <c r="H73" s="14"/>
      <c r="I73" s="48"/>
      <c r="K73" s="14"/>
    </row>
    <row r="74" spans="2:12" x14ac:dyDescent="0.2">
      <c r="B74" s="17"/>
      <c r="C74" s="15"/>
      <c r="D74" s="15"/>
      <c r="E74" s="15"/>
      <c r="F74" s="15"/>
      <c r="G74" s="15"/>
      <c r="H74" s="14"/>
      <c r="I74" s="48"/>
      <c r="K74" s="14"/>
    </row>
    <row r="75" spans="2:12" x14ac:dyDescent="0.2">
      <c r="B75" s="68"/>
      <c r="C75" s="43"/>
      <c r="D75" s="43"/>
      <c r="E75" s="16"/>
      <c r="F75" s="16"/>
      <c r="G75" s="43"/>
      <c r="H75" s="14"/>
      <c r="I75" s="48"/>
      <c r="K75" s="14"/>
      <c r="L75" s="2"/>
    </row>
    <row r="76" spans="2:12" x14ac:dyDescent="0.2">
      <c r="B76" s="68"/>
      <c r="C76" s="43"/>
      <c r="D76" s="43"/>
      <c r="E76" s="69"/>
      <c r="F76" s="69"/>
      <c r="G76" s="16"/>
      <c r="H76" s="14"/>
      <c r="I76" s="48"/>
      <c r="K76" s="14"/>
      <c r="L76" s="2"/>
    </row>
    <row r="77" spans="2:12" x14ac:dyDescent="0.2">
      <c r="B77" s="68"/>
      <c r="C77" s="43"/>
      <c r="D77" s="43"/>
      <c r="E77" s="69"/>
      <c r="F77" s="69"/>
      <c r="G77" s="16"/>
      <c r="H77" s="14"/>
      <c r="I77" s="48"/>
      <c r="K77" s="14"/>
      <c r="L77" s="2"/>
    </row>
    <row r="78" spans="2:12" x14ac:dyDescent="0.2">
      <c r="B78" s="68"/>
      <c r="C78" s="43"/>
      <c r="D78" s="43"/>
      <c r="E78" s="69"/>
      <c r="F78" s="69"/>
      <c r="G78" s="16"/>
      <c r="H78" s="14"/>
      <c r="I78" s="48"/>
      <c r="K78" s="14"/>
      <c r="L78" s="2"/>
    </row>
    <row r="79" spans="2:12" x14ac:dyDescent="0.2">
      <c r="B79" s="17"/>
      <c r="C79" s="69"/>
      <c r="D79" s="70"/>
      <c r="E79" s="69"/>
      <c r="F79" s="69"/>
      <c r="G79" s="69"/>
      <c r="H79" s="14"/>
      <c r="I79" s="48"/>
      <c r="K79" s="14"/>
      <c r="L79" s="2"/>
    </row>
    <row r="80" spans="2:12" x14ac:dyDescent="0.2">
      <c r="B80" s="20"/>
      <c r="C80" s="69"/>
      <c r="D80" s="69"/>
      <c r="E80" s="15"/>
      <c r="F80" s="15"/>
      <c r="G80" s="15"/>
      <c r="H80" s="14"/>
      <c r="I80" s="48"/>
      <c r="K80" s="14"/>
      <c r="L80" s="2"/>
    </row>
    <row r="81" spans="2:12" x14ac:dyDescent="0.2">
      <c r="B81" s="23"/>
      <c r="C81" s="23"/>
      <c r="D81" s="23"/>
      <c r="E81" s="43"/>
      <c r="F81" s="43"/>
      <c r="G81" s="43"/>
      <c r="H81" s="14"/>
      <c r="I81" s="48"/>
      <c r="K81" s="14"/>
      <c r="L81" s="2"/>
    </row>
    <row r="82" spans="2:12" x14ac:dyDescent="0.2">
      <c r="B82" s="15"/>
      <c r="C82" s="23"/>
      <c r="D82" s="23"/>
      <c r="E82" s="43"/>
      <c r="F82" s="43"/>
      <c r="G82" s="43"/>
      <c r="H82" s="14"/>
      <c r="I82" s="48"/>
      <c r="K82" s="14"/>
      <c r="L82" s="2"/>
    </row>
    <row r="83" spans="2:12" x14ac:dyDescent="0.2">
      <c r="B83" s="23"/>
      <c r="C83" s="122"/>
      <c r="D83" s="23"/>
      <c r="E83" s="43"/>
      <c r="F83" s="43"/>
      <c r="G83" s="43"/>
      <c r="H83" s="14"/>
      <c r="I83" s="48"/>
      <c r="K83" s="14"/>
      <c r="L83" s="2"/>
    </row>
    <row r="84" spans="2:12" x14ac:dyDescent="0.2">
      <c r="B84" s="23"/>
      <c r="C84" s="122"/>
      <c r="D84" s="23"/>
      <c r="E84" s="43"/>
      <c r="F84" s="43"/>
      <c r="G84" s="43"/>
      <c r="H84" s="14"/>
      <c r="I84" s="48"/>
      <c r="K84" s="14"/>
      <c r="L84" s="2"/>
    </row>
    <row r="85" spans="2:12" x14ac:dyDescent="0.2">
      <c r="B85" s="74"/>
      <c r="C85" s="122"/>
      <c r="D85" s="23"/>
      <c r="E85" s="69"/>
      <c r="F85" s="15"/>
      <c r="G85" s="43"/>
      <c r="H85" s="14"/>
      <c r="I85" s="48"/>
      <c r="K85" s="14"/>
      <c r="L85" s="2"/>
    </row>
    <row r="86" spans="2:12" x14ac:dyDescent="0.2">
      <c r="B86" s="23"/>
      <c r="C86" s="23"/>
      <c r="D86" s="23"/>
      <c r="E86" s="69"/>
      <c r="F86" s="69"/>
      <c r="G86" s="16"/>
      <c r="H86" s="14"/>
      <c r="I86" s="48"/>
      <c r="K86" s="14"/>
      <c r="L86" s="2"/>
    </row>
    <row r="87" spans="2:12" x14ac:dyDescent="0.2">
      <c r="B87" s="23"/>
      <c r="C87" s="23"/>
      <c r="D87" s="23"/>
      <c r="E87" s="23"/>
      <c r="F87" s="23"/>
      <c r="G87" s="23"/>
      <c r="L87" s="2"/>
    </row>
    <row r="88" spans="2:12" x14ac:dyDescent="0.2">
      <c r="B88" s="17"/>
      <c r="C88" s="51"/>
      <c r="D88" s="23"/>
      <c r="E88" s="23"/>
      <c r="F88" s="23"/>
      <c r="G88" s="23"/>
      <c r="L88" s="2"/>
    </row>
    <row r="89" spans="2:12" x14ac:dyDescent="0.2">
      <c r="B89" s="20"/>
      <c r="C89" s="43"/>
      <c r="D89" s="23"/>
      <c r="E89" s="23"/>
      <c r="F89" s="23"/>
      <c r="G89" s="23"/>
      <c r="L89" s="2"/>
    </row>
    <row r="90" spans="2:12" x14ac:dyDescent="0.2">
      <c r="B90" s="21"/>
      <c r="C90" s="61"/>
      <c r="D90" s="23"/>
      <c r="E90" s="23"/>
      <c r="F90" s="23"/>
      <c r="G90" s="23"/>
      <c r="L90" s="2"/>
    </row>
    <row r="91" spans="2:12" x14ac:dyDescent="0.2">
      <c r="B91" s="23"/>
      <c r="C91" s="23"/>
      <c r="D91" s="23"/>
      <c r="E91" s="23"/>
      <c r="F91" s="23"/>
      <c r="G91" s="23"/>
      <c r="I91" s="2"/>
      <c r="K91" s="2"/>
      <c r="L91" s="2"/>
    </row>
    <row r="92" spans="2:12" x14ac:dyDescent="0.2">
      <c r="B92" s="23"/>
      <c r="C92" s="23"/>
      <c r="D92" s="23"/>
      <c r="E92" s="23"/>
      <c r="F92" s="23"/>
      <c r="G92" s="23"/>
      <c r="I92" s="2"/>
      <c r="K92" s="2"/>
      <c r="L92" s="2"/>
    </row>
    <row r="93" spans="2:12" x14ac:dyDescent="0.2">
      <c r="B93" s="20"/>
      <c r="C93" s="23"/>
      <c r="D93" s="23"/>
      <c r="E93" s="23"/>
      <c r="F93" s="23"/>
      <c r="G93" s="23"/>
      <c r="I93" s="2"/>
      <c r="K93" s="2"/>
      <c r="L93" s="2"/>
    </row>
    <row r="94" spans="2:12" x14ac:dyDescent="0.2">
      <c r="B94" s="23"/>
      <c r="C94" s="23"/>
      <c r="D94" s="23"/>
      <c r="E94" s="23"/>
      <c r="F94" s="23"/>
      <c r="G94" s="23"/>
      <c r="I94" s="2"/>
      <c r="K94" s="2"/>
      <c r="L94" s="2"/>
    </row>
    <row r="95" spans="2:12" x14ac:dyDescent="0.2">
      <c r="B95" s="23"/>
      <c r="C95" s="23"/>
      <c r="D95" s="23"/>
      <c r="E95" s="23"/>
      <c r="F95" s="23"/>
      <c r="G95" s="23"/>
      <c r="I95" s="2"/>
      <c r="K95" s="2"/>
      <c r="L95" s="2"/>
    </row>
    <row r="96" spans="2:12" x14ac:dyDescent="0.2">
      <c r="E96" s="23"/>
      <c r="F96" s="23"/>
      <c r="G96" s="23"/>
      <c r="I96" s="2"/>
      <c r="K96" s="2"/>
      <c r="L96" s="2"/>
    </row>
    <row r="97" spans="5:12" x14ac:dyDescent="0.2">
      <c r="E97" s="23"/>
      <c r="F97" s="23"/>
      <c r="G97" s="23"/>
      <c r="I97" s="2"/>
      <c r="K97" s="2"/>
      <c r="L97" s="2"/>
    </row>
    <row r="98" spans="5:12" x14ac:dyDescent="0.2">
      <c r="E98" s="23"/>
      <c r="F98" s="23"/>
      <c r="G98" s="23"/>
      <c r="I98" s="2"/>
      <c r="K98" s="2"/>
      <c r="L98" s="2"/>
    </row>
    <row r="99" spans="5:12" x14ac:dyDescent="0.2">
      <c r="E99" s="23"/>
      <c r="F99" s="23"/>
      <c r="G99" s="23"/>
      <c r="I99" s="2"/>
      <c r="K99" s="2"/>
      <c r="L99" s="2"/>
    </row>
    <row r="100" spans="5:12" x14ac:dyDescent="0.2">
      <c r="E100" s="23"/>
      <c r="F100" s="23"/>
      <c r="G100" s="23"/>
      <c r="I100" s="2"/>
      <c r="K100" s="2"/>
      <c r="L100" s="2"/>
    </row>
    <row r="101" spans="5:12" x14ac:dyDescent="0.2">
      <c r="E101" s="23"/>
      <c r="F101" s="23"/>
      <c r="G101" s="23"/>
      <c r="I101" s="2"/>
      <c r="K101" s="2"/>
      <c r="L101" s="2"/>
    </row>
  </sheetData>
  <mergeCells count="17">
    <mergeCell ref="B45:C45"/>
    <mergeCell ref="D43:E43"/>
    <mergeCell ref="D17:E17"/>
    <mergeCell ref="F53:G53"/>
    <mergeCell ref="F55:G55"/>
    <mergeCell ref="B46:C46"/>
    <mergeCell ref="B47:C47"/>
    <mergeCell ref="B48:C48"/>
    <mergeCell ref="D26:F26"/>
    <mergeCell ref="D36:F36"/>
    <mergeCell ref="H37:I37"/>
    <mergeCell ref="B1:I1"/>
    <mergeCell ref="C12:E12"/>
    <mergeCell ref="C13:D13"/>
    <mergeCell ref="C14:D14"/>
    <mergeCell ref="C15:D15"/>
    <mergeCell ref="C9:F9"/>
  </mergeCells>
  <phoneticPr fontId="2" type="noConversion"/>
  <dataValidations count="2">
    <dataValidation type="list" allowBlank="1" showInputMessage="1" showErrorMessage="1" sqref="E14">
      <formula1>$D$53:$D$55</formula1>
    </dataValidation>
    <dataValidation type="list" allowBlank="1" showErrorMessage="1" sqref="E13">
      <formula1>$D$51:$D$52</formula1>
    </dataValidation>
  </dataValidations>
  <printOptions gridLines="1"/>
  <pageMargins left="0.75" right="0.75" top="1" bottom="1" header="0.5" footer="0.5"/>
  <pageSetup scale="70" fitToHeight="2" orientation="landscape" r:id="rId1"/>
  <headerFooter alignWithMargins="0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8" r:id="rId4" name="Button 20">
              <controlPr defaultSize="0" print="0" autoFill="0" autoPict="0" macro="[0]!ClearCellContents">
                <anchor moveWithCells="1" sizeWithCells="1">
                  <from>
                    <xdr:col>3</xdr:col>
                    <xdr:colOff>0</xdr:colOff>
                    <xdr:row>1</xdr:row>
                    <xdr:rowOff>114300</xdr:rowOff>
                  </from>
                  <to>
                    <xdr:col>3</xdr:col>
                    <xdr:colOff>1876425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314"/>
  <sheetViews>
    <sheetView showGridLines="0" topLeftCell="A67" zoomScaleNormal="100" workbookViewId="0">
      <selection activeCell="K71" sqref="K71:K72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0" width="9.140625" style="2" hidden="1" customWidth="1"/>
    <col min="31" max="39" width="9.140625" style="28" hidden="1" customWidth="1"/>
    <col min="40" max="40" width="14.5703125" style="28" hidden="1" customWidth="1"/>
    <col min="41" max="43" width="8.85546875" style="2" hidden="1" customWidth="1"/>
    <col min="44" max="16384" width="8.85546875" style="2"/>
  </cols>
  <sheetData>
    <row r="1" spans="1:40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 x14ac:dyDescent="0.25">
      <c r="A2" s="257" t="s">
        <v>87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2">
      <c r="A4" s="229" t="s">
        <v>249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">
      <c r="A5" s="87" t="s">
        <v>31</v>
      </c>
      <c r="B5" s="261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">
      <c r="A6" s="96" t="s">
        <v>24</v>
      </c>
      <c r="B6" s="294">
        <f>'Site Data'!D20</f>
        <v>0</v>
      </c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">
      <c r="A7" s="99" t="s">
        <v>30</v>
      </c>
      <c r="B7" s="294">
        <f>'Site Data'!D21</f>
        <v>0</v>
      </c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">
      <c r="A8" s="99" t="s">
        <v>13</v>
      </c>
      <c r="B8" s="294">
        <f>'Site Data'!D22</f>
        <v>0</v>
      </c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">
      <c r="A9" s="99" t="s">
        <v>73</v>
      </c>
      <c r="B9" s="294">
        <f>'Site Data'!D23</f>
        <v>0</v>
      </c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">
      <c r="A10" s="99" t="s">
        <v>62</v>
      </c>
      <c r="B10" s="137">
        <f>'Site Data'!D24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">
      <c r="A12" s="229" t="s">
        <v>250</v>
      </c>
      <c r="B12" s="230"/>
      <c r="C12" s="231"/>
      <c r="D12" s="149"/>
      <c r="F12" s="232"/>
      <c r="G12" s="23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">
      <c r="A13" s="87" t="s">
        <v>31</v>
      </c>
      <c r="B13" s="261" t="s">
        <v>52</v>
      </c>
      <c r="C13" s="149"/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">
      <c r="A14" s="96" t="s">
        <v>24</v>
      </c>
      <c r="B14" s="294">
        <f>'Site Data'!D29</f>
        <v>0</v>
      </c>
      <c r="C14" s="149"/>
      <c r="D14" s="149"/>
      <c r="E14" s="120" t="s">
        <v>22</v>
      </c>
      <c r="F14" s="100">
        <f>IFERROR(B14/B19,0)</f>
        <v>0</v>
      </c>
      <c r="G14" s="49"/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">
      <c r="A15" s="99" t="s">
        <v>30</v>
      </c>
      <c r="B15" s="294">
        <f>'Site Data'!D30</f>
        <v>0</v>
      </c>
      <c r="C15" s="149"/>
      <c r="D15" s="149"/>
      <c r="E15" s="191" t="s">
        <v>95</v>
      </c>
      <c r="F15" s="100">
        <f>IFERROR(B15/B19,0)</f>
        <v>0</v>
      </c>
      <c r="G15" s="49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">
      <c r="A16" s="99" t="s">
        <v>13</v>
      </c>
      <c r="B16" s="294">
        <f>'Site Data'!D31</f>
        <v>0</v>
      </c>
      <c r="C16" s="149"/>
      <c r="D16" s="149"/>
      <c r="E16" s="120" t="s">
        <v>23</v>
      </c>
      <c r="F16" s="100">
        <f>IFERROR((B16+B18)/B19,0)</f>
        <v>0</v>
      </c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5" x14ac:dyDescent="0.2">
      <c r="A17" s="212" t="s">
        <v>112</v>
      </c>
      <c r="B17" s="157"/>
      <c r="C17" s="149"/>
      <c r="D17" s="149"/>
      <c r="E17" s="117" t="s">
        <v>15</v>
      </c>
      <c r="F17" s="101">
        <f>B23*F14+B24*F15+B25*F16</f>
        <v>0</v>
      </c>
      <c r="G17" s="49"/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5" x14ac:dyDescent="0.2">
      <c r="A18" s="99" t="s">
        <v>73</v>
      </c>
      <c r="B18" s="294">
        <f>'Site Data'!D32</f>
        <v>0</v>
      </c>
      <c r="C18" s="149"/>
      <c r="D18" s="149"/>
      <c r="E18" s="83"/>
      <c r="F18" s="72"/>
      <c r="G18" s="49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5" x14ac:dyDescent="0.2">
      <c r="A19" s="99" t="s">
        <v>62</v>
      </c>
      <c r="B19" s="137">
        <f>'Site Data'!D33</f>
        <v>0</v>
      </c>
      <c r="C19" s="149"/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5" x14ac:dyDescent="0.2">
      <c r="C20"/>
      <c r="D20" s="401" t="s">
        <v>47</v>
      </c>
      <c r="E20" s="401"/>
      <c r="F20" s="401"/>
      <c r="G20" s="67">
        <f>'Site Data'!$E$34/12*B19*F17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5" x14ac:dyDescent="0.2">
      <c r="A22" s="259" t="s">
        <v>10</v>
      </c>
      <c r="B22" s="261" t="s">
        <v>20</v>
      </c>
      <c r="C22"/>
      <c r="D22" s="401" t="s">
        <v>114</v>
      </c>
      <c r="E22" s="401"/>
      <c r="F22" s="401"/>
      <c r="G22" s="67">
        <f>'Site Data'!$E$34/24*B25*B17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33"/>
      <c r="AB27" s="33"/>
      <c r="AC27" s="33"/>
      <c r="AD27" s="33"/>
      <c r="AE27" s="33"/>
      <c r="AF27" s="33"/>
      <c r="AG27" s="33"/>
      <c r="AH27" s="50"/>
      <c r="AI27" s="50"/>
      <c r="AJ27" s="50"/>
      <c r="AK27" s="50"/>
      <c r="AL27" s="50"/>
      <c r="AM27" s="50"/>
      <c r="AN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/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/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/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/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/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E86" s="2"/>
      <c r="AF86" s="2"/>
      <c r="AG86" s="2"/>
      <c r="AH86" s="2"/>
      <c r="AO86" s="28"/>
      <c r="AP86" s="28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E87" s="2"/>
      <c r="AF87" s="2"/>
      <c r="AG87" s="2"/>
      <c r="AH87" s="2"/>
      <c r="AO87" s="28"/>
      <c r="AP87" s="28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E88" s="2"/>
      <c r="AF88" s="2"/>
      <c r="AG88" s="2"/>
      <c r="AH88" s="2"/>
      <c r="AO88" s="28"/>
      <c r="AP88" s="28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E89" s="2"/>
      <c r="AF89" s="2"/>
      <c r="AG89" s="2"/>
      <c r="AH89" s="2"/>
      <c r="AO89" s="28"/>
      <c r="AP89" s="28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E90" s="2"/>
      <c r="AF90" s="2"/>
      <c r="AG90" s="2"/>
      <c r="AH90" s="2"/>
      <c r="AO90" s="28"/>
      <c r="AP90" s="28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E91" s="2"/>
      <c r="AF91" s="2"/>
      <c r="AG91" s="2"/>
      <c r="AH91" s="2"/>
      <c r="AO91" s="28"/>
      <c r="AP91" s="28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E92" s="2"/>
      <c r="AF92" s="2"/>
      <c r="AG92" s="2"/>
      <c r="AH92" s="2"/>
      <c r="AO92" s="28"/>
      <c r="AP92" s="28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E93" s="2"/>
      <c r="AF93" s="2"/>
      <c r="AG93" s="2"/>
      <c r="AH93" s="2"/>
      <c r="AO93" s="28"/>
      <c r="AP93" s="28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  <c r="AE112" s="2"/>
      <c r="AF112" s="2"/>
      <c r="AO112" s="28"/>
      <c r="AP112" s="28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  <c r="AE113" s="2"/>
      <c r="AF113" s="2"/>
      <c r="AO113" s="28"/>
      <c r="AP113" s="28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  <c r="AE114" s="2"/>
      <c r="AF114" s="2"/>
      <c r="AO114" s="28"/>
      <c r="AP114" s="28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  <c r="AE115" s="2"/>
      <c r="AF115" s="2"/>
      <c r="AO115" s="28"/>
      <c r="AP115" s="28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  <c r="AE116" s="2"/>
      <c r="AF116" s="2"/>
      <c r="AO116" s="28"/>
      <c r="AP116" s="28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  <c r="AE117" s="2"/>
      <c r="AF117" s="2"/>
      <c r="AO117" s="28"/>
      <c r="AP117" s="28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  <c r="AE118" s="2"/>
      <c r="AF118" s="2"/>
      <c r="AO118" s="28"/>
      <c r="AP118" s="28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  <c r="AE119" s="2"/>
      <c r="AF119" s="2"/>
      <c r="AO119" s="28"/>
      <c r="AP119" s="28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s="28" customFormat="1" x14ac:dyDescent="0.2">
      <c r="A121" s="177"/>
      <c r="B121" s="26"/>
      <c r="D121" s="26"/>
      <c r="F121" s="109"/>
      <c r="H121" s="177"/>
      <c r="I121" s="2"/>
      <c r="J121" s="89"/>
      <c r="K121" s="89"/>
      <c r="O121" s="112"/>
      <c r="P121" s="112"/>
      <c r="Q121" s="3"/>
      <c r="R121" s="76"/>
      <c r="S121" s="76"/>
      <c r="T121" s="26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42" s="28" customFormat="1" x14ac:dyDescent="0.2">
      <c r="A122" s="177"/>
      <c r="B122" s="26"/>
      <c r="D122" s="26"/>
      <c r="F122" s="109"/>
      <c r="G122" s="32"/>
      <c r="H122" s="177"/>
      <c r="I122" s="2"/>
      <c r="J122" s="89"/>
      <c r="K122" s="89"/>
      <c r="M122" s="89"/>
      <c r="N122" s="127"/>
      <c r="O122" s="112"/>
      <c r="P122" s="112"/>
      <c r="Q122" s="3"/>
      <c r="R122" s="76"/>
      <c r="S122" s="76"/>
      <c r="T122" s="26"/>
    </row>
    <row r="123" spans="1:42" s="28" customFormat="1" x14ac:dyDescent="0.2">
      <c r="A123" s="177"/>
      <c r="B123" s="26"/>
      <c r="D123" s="26"/>
      <c r="F123" s="110"/>
      <c r="G123" s="32"/>
      <c r="H123" s="177"/>
      <c r="J123" s="112"/>
      <c r="K123" s="112"/>
      <c r="M123" s="89"/>
      <c r="N123" s="127"/>
      <c r="O123" s="112"/>
      <c r="P123" s="112"/>
      <c r="Q123" s="3"/>
      <c r="R123" s="76"/>
      <c r="S123" s="76"/>
      <c r="T123" s="26"/>
    </row>
    <row r="124" spans="1:42" s="28" customFormat="1" x14ac:dyDescent="0.2">
      <c r="A124" s="53"/>
      <c r="B124" s="26"/>
      <c r="D124" s="26"/>
      <c r="F124" s="109"/>
      <c r="G124" s="32"/>
      <c r="H124" s="53"/>
      <c r="J124" s="112"/>
      <c r="K124" s="112"/>
      <c r="M124" s="89"/>
      <c r="N124" s="127"/>
      <c r="O124" s="112"/>
      <c r="P124" s="112"/>
      <c r="Q124" s="3"/>
      <c r="R124" s="76"/>
      <c r="S124" s="76"/>
    </row>
    <row r="125" spans="1:42" s="28" customFormat="1" x14ac:dyDescent="0.2">
      <c r="A125" s="177"/>
      <c r="B125" s="26"/>
      <c r="D125" s="26"/>
      <c r="F125" s="109"/>
      <c r="G125" s="32"/>
      <c r="H125" s="177"/>
      <c r="J125" s="112"/>
      <c r="K125" s="112"/>
      <c r="M125" s="89"/>
      <c r="N125" s="127"/>
      <c r="O125" s="112"/>
      <c r="P125" s="112"/>
      <c r="Q125" s="3"/>
      <c r="R125" s="76"/>
      <c r="S125" s="76"/>
      <c r="U125" s="23"/>
    </row>
    <row r="126" spans="1:42" s="28" customFormat="1" x14ac:dyDescent="0.2">
      <c r="A126" s="54"/>
      <c r="B126" s="26"/>
      <c r="D126" s="26"/>
      <c r="F126" s="110"/>
      <c r="G126" s="32"/>
      <c r="H126" s="54"/>
      <c r="J126" s="112"/>
      <c r="K126" s="112"/>
      <c r="M126" s="89"/>
      <c r="N126" s="127"/>
      <c r="O126" s="112"/>
      <c r="P126" s="112"/>
      <c r="Q126" s="3"/>
      <c r="R126" s="76"/>
      <c r="S126" s="76"/>
      <c r="U126" s="23"/>
      <c r="AE126" s="56"/>
      <c r="AF126" s="56"/>
      <c r="AG126" s="56"/>
    </row>
    <row r="127" spans="1:42" s="28" customFormat="1" x14ac:dyDescent="0.2">
      <c r="A127" s="54"/>
      <c r="B127" s="26"/>
      <c r="D127" s="26"/>
      <c r="F127" s="111"/>
      <c r="G127" s="32"/>
      <c r="H127" s="54"/>
      <c r="J127" s="112"/>
      <c r="K127" s="112"/>
      <c r="M127" s="89"/>
      <c r="N127" s="127"/>
      <c r="O127" s="113"/>
      <c r="P127" s="113"/>
      <c r="Q127" s="3"/>
      <c r="R127" s="76"/>
      <c r="S127" s="76"/>
      <c r="U127" s="23"/>
    </row>
    <row r="128" spans="1:42" s="28" customFormat="1" x14ac:dyDescent="0.2">
      <c r="A128" s="177"/>
      <c r="B128" s="26"/>
      <c r="D128" s="26"/>
      <c r="F128" s="111"/>
      <c r="G128" s="32"/>
      <c r="H128" s="177"/>
      <c r="J128" s="112"/>
      <c r="K128" s="112"/>
      <c r="M128" s="89"/>
      <c r="N128" s="127"/>
      <c r="O128" s="113"/>
      <c r="P128" s="113"/>
      <c r="Q128" s="3"/>
      <c r="R128" s="76"/>
      <c r="S128" s="76"/>
      <c r="U128" s="23"/>
    </row>
    <row r="129" spans="1:40" s="28" customFormat="1" x14ac:dyDescent="0.2">
      <c r="A129" s="177"/>
      <c r="B129" s="55"/>
      <c r="C129" s="32"/>
      <c r="D129" s="55"/>
      <c r="E129" s="32"/>
      <c r="F129" s="110"/>
      <c r="G129" s="32"/>
      <c r="H129" s="177"/>
      <c r="J129" s="112"/>
      <c r="K129" s="112"/>
      <c r="M129" s="89"/>
      <c r="N129" s="127"/>
      <c r="O129" s="113"/>
      <c r="P129" s="113"/>
      <c r="Q129" s="3"/>
      <c r="R129" s="76"/>
      <c r="S129" s="76"/>
      <c r="U129" s="23"/>
    </row>
    <row r="130" spans="1:40" s="28" customFormat="1" x14ac:dyDescent="0.2">
      <c r="A130" s="177"/>
      <c r="B130" s="55"/>
      <c r="C130" s="32"/>
      <c r="D130" s="55"/>
      <c r="E130" s="32"/>
      <c r="F130" s="110"/>
      <c r="G130" s="32"/>
      <c r="H130" s="177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0" s="28" customFormat="1" x14ac:dyDescent="0.2">
      <c r="A131" s="177"/>
      <c r="B131" s="55"/>
      <c r="C131" s="32"/>
      <c r="D131" s="55"/>
      <c r="E131" s="32"/>
      <c r="F131" s="110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0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113"/>
      <c r="N132" s="127"/>
      <c r="O132" s="113"/>
      <c r="P132" s="113"/>
      <c r="Q132" s="55"/>
      <c r="R132" s="77"/>
      <c r="S132" s="77"/>
      <c r="U132" s="23"/>
    </row>
    <row r="133" spans="1:40" x14ac:dyDescent="0.2">
      <c r="A133" s="177"/>
      <c r="B133" s="55"/>
      <c r="C133" s="32"/>
      <c r="D133" s="55"/>
      <c r="E133" s="32"/>
      <c r="F133" s="110"/>
      <c r="G133" s="32"/>
      <c r="H133" s="177"/>
      <c r="I133" s="32"/>
      <c r="J133" s="113"/>
      <c r="K133" s="113"/>
      <c r="L133" s="32"/>
      <c r="M133" s="113"/>
      <c r="N133" s="110"/>
      <c r="O133" s="113"/>
      <c r="P133" s="113"/>
      <c r="Q133" s="177"/>
      <c r="R133" s="23"/>
      <c r="S133" s="23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x14ac:dyDescent="0.2">
      <c r="A134" s="33"/>
      <c r="B134" s="55"/>
      <c r="C134" s="32"/>
      <c r="D134" s="55"/>
      <c r="E134" s="32"/>
      <c r="F134" s="110"/>
      <c r="G134" s="32"/>
      <c r="H134" s="28"/>
      <c r="I134" s="32"/>
      <c r="J134" s="113"/>
      <c r="K134" s="113"/>
      <c r="L134" s="32"/>
      <c r="M134" s="113"/>
      <c r="N134" s="112"/>
      <c r="O134" s="113"/>
      <c r="P134" s="113"/>
      <c r="Q134" s="177"/>
      <c r="R134" s="23"/>
      <c r="S134" s="23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x14ac:dyDescent="0.2">
      <c r="A135" s="33"/>
      <c r="B135" s="55"/>
      <c r="C135" s="32"/>
      <c r="D135" s="55"/>
      <c r="E135" s="32"/>
      <c r="F135" s="131"/>
      <c r="G135" s="32"/>
      <c r="H135" s="28"/>
      <c r="I135" s="32"/>
      <c r="J135" s="113"/>
      <c r="K135" s="113"/>
      <c r="L135" s="32"/>
      <c r="M135" s="113"/>
      <c r="N135" s="112"/>
      <c r="O135" s="113"/>
      <c r="P135" s="113"/>
      <c r="Q135" s="177"/>
      <c r="R135" s="32"/>
      <c r="S135" s="32"/>
      <c r="T135" s="28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x14ac:dyDescent="0.2">
      <c r="A136" s="28"/>
      <c r="B136" s="55"/>
      <c r="C136" s="32"/>
      <c r="D136" s="55"/>
      <c r="E136" s="32"/>
      <c r="F136" s="128"/>
      <c r="G136" s="32"/>
      <c r="H136" s="28"/>
      <c r="I136" s="32"/>
      <c r="J136" s="113"/>
      <c r="K136" s="113"/>
      <c r="L136" s="32"/>
      <c r="M136" s="113"/>
      <c r="N136" s="112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customHeight="1" x14ac:dyDescent="0.2">
      <c r="A137" s="28"/>
      <c r="B137" s="55"/>
      <c r="C137" s="32"/>
      <c r="D137" s="55"/>
      <c r="E137" s="32"/>
      <c r="F137" s="128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x14ac:dyDescent="0.2">
      <c r="A138" s="28"/>
      <c r="B138" s="55"/>
      <c r="C138" s="32"/>
      <c r="D138" s="55"/>
      <c r="E138" s="32"/>
      <c r="F138" s="128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28"/>
      <c r="R138" s="23"/>
      <c r="S138" s="23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x14ac:dyDescent="0.2">
      <c r="A139" s="36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28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s="23" customFormat="1" x14ac:dyDescent="0.2">
      <c r="A140" s="36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32"/>
      <c r="R140" s="26"/>
      <c r="S140" s="26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</row>
    <row r="141" spans="1:40" x14ac:dyDescent="0.2">
      <c r="A141" s="28"/>
      <c r="B141" s="26"/>
      <c r="C141" s="26"/>
      <c r="D141" s="26"/>
      <c r="E141" s="26"/>
      <c r="F141" s="128"/>
      <c r="G141" s="32"/>
      <c r="H141" s="32"/>
      <c r="I141" s="32"/>
      <c r="J141" s="113"/>
      <c r="K141" s="113"/>
      <c r="L141" s="32"/>
      <c r="M141" s="113"/>
      <c r="N141" s="113"/>
      <c r="O141" s="113"/>
      <c r="P141" s="113"/>
      <c r="Q141" s="27"/>
      <c r="R141" s="26"/>
      <c r="S141" s="26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customHeight="1" x14ac:dyDescent="0.2">
      <c r="A142" s="177"/>
      <c r="B142" s="26"/>
      <c r="C142" s="28"/>
      <c r="D142" s="26"/>
      <c r="E142" s="28"/>
      <c r="F142" s="110"/>
      <c r="G142" s="32"/>
      <c r="H142" s="177"/>
      <c r="I142" s="32"/>
      <c r="J142" s="113"/>
      <c r="K142" s="113"/>
      <c r="L142" s="32"/>
      <c r="M142" s="113"/>
      <c r="N142" s="110"/>
      <c r="O142" s="113"/>
      <c r="P142" s="113"/>
      <c r="Q142" s="177"/>
      <c r="R142" s="26"/>
      <c r="S142" s="26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x14ac:dyDescent="0.2">
      <c r="A143" s="177"/>
      <c r="B143" s="26"/>
      <c r="C143" s="28"/>
      <c r="D143" s="26"/>
      <c r="E143" s="28"/>
      <c r="F143" s="110"/>
      <c r="G143" s="32"/>
      <c r="H143" s="177"/>
      <c r="I143" s="32"/>
      <c r="J143" s="113"/>
      <c r="K143" s="113"/>
      <c r="L143" s="32"/>
      <c r="M143" s="113"/>
      <c r="N143" s="110"/>
      <c r="O143" s="113"/>
      <c r="P143" s="113"/>
      <c r="Q143" s="177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x14ac:dyDescent="0.2">
      <c r="A144" s="177"/>
      <c r="B144" s="55"/>
      <c r="C144" s="32"/>
      <c r="D144" s="55"/>
      <c r="E144" s="32"/>
      <c r="F144" s="110"/>
      <c r="G144" s="32"/>
      <c r="H144" s="177"/>
      <c r="I144" s="32"/>
      <c r="J144" s="113"/>
      <c r="K144" s="113"/>
      <c r="L144" s="32"/>
      <c r="M144" s="113"/>
      <c r="N144" s="110"/>
      <c r="O144" s="113"/>
      <c r="P144" s="113"/>
      <c r="Q144" s="17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x14ac:dyDescent="0.2">
      <c r="A145" s="53"/>
      <c r="B145" s="55"/>
      <c r="C145" s="32"/>
      <c r="D145" s="55"/>
      <c r="E145" s="32"/>
      <c r="F145" s="109"/>
      <c r="G145" s="32"/>
      <c r="H145" s="53"/>
      <c r="I145" s="32"/>
      <c r="J145" s="113"/>
      <c r="K145" s="112"/>
      <c r="L145" s="28"/>
      <c r="M145" s="112"/>
      <c r="N145" s="109"/>
      <c r="O145" s="113"/>
      <c r="P145" s="113"/>
      <c r="Q145" s="53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">
      <c r="A146" s="53"/>
      <c r="B146" s="55"/>
      <c r="C146" s="32"/>
      <c r="D146" s="55"/>
      <c r="E146" s="32"/>
      <c r="F146" s="109"/>
      <c r="G146" s="28"/>
      <c r="H146" s="53"/>
      <c r="I146" s="32"/>
      <c r="J146" s="113"/>
      <c r="K146" s="112"/>
      <c r="L146" s="28"/>
      <c r="M146" s="112"/>
      <c r="N146" s="109"/>
      <c r="O146" s="113"/>
      <c r="P146" s="113"/>
      <c r="Q146" s="53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">
      <c r="A147" s="177"/>
      <c r="B147" s="55"/>
      <c r="C147" s="32"/>
      <c r="D147" s="55"/>
      <c r="E147" s="32"/>
      <c r="F147" s="110"/>
      <c r="G147" s="28"/>
      <c r="H147" s="177"/>
      <c r="I147" s="32"/>
      <c r="J147" s="113"/>
      <c r="K147" s="112"/>
      <c r="L147" s="28"/>
      <c r="M147" s="112"/>
      <c r="N147" s="110"/>
      <c r="O147" s="112"/>
      <c r="P147" s="112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">
      <c r="A148" s="54"/>
      <c r="B148" s="55"/>
      <c r="C148" s="32"/>
      <c r="D148" s="55"/>
      <c r="E148" s="32"/>
      <c r="F148" s="111"/>
      <c r="G148" s="28"/>
      <c r="H148" s="54"/>
      <c r="I148" s="32"/>
      <c r="J148" s="113"/>
      <c r="K148" s="112"/>
      <c r="L148" s="28"/>
      <c r="M148" s="112"/>
      <c r="N148" s="111"/>
      <c r="O148" s="112"/>
      <c r="P148" s="112"/>
      <c r="Q148" s="54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s="28" customFormat="1" x14ac:dyDescent="0.2">
      <c r="A149" s="177"/>
      <c r="B149" s="55"/>
      <c r="C149" s="32"/>
      <c r="D149" s="55"/>
      <c r="E149" s="32"/>
      <c r="F149" s="110"/>
      <c r="H149" s="54"/>
      <c r="I149" s="32"/>
      <c r="J149" s="113"/>
      <c r="K149" s="112"/>
      <c r="M149" s="112"/>
      <c r="N149" s="111"/>
      <c r="O149" s="112"/>
      <c r="P149" s="112"/>
      <c r="Q149" s="54"/>
      <c r="R149" s="26"/>
      <c r="S149" s="26"/>
    </row>
    <row r="150" spans="1:40" s="28" customFormat="1" x14ac:dyDescent="0.2">
      <c r="A150" s="177"/>
      <c r="B150" s="55"/>
      <c r="C150" s="32"/>
      <c r="D150" s="55"/>
      <c r="E150" s="32"/>
      <c r="F150" s="110"/>
      <c r="H150" s="177"/>
      <c r="I150" s="32"/>
      <c r="J150" s="113"/>
      <c r="K150" s="112"/>
      <c r="M150" s="112"/>
      <c r="N150" s="110"/>
      <c r="O150" s="112"/>
      <c r="P150" s="112"/>
      <c r="Q150" s="177"/>
      <c r="R150" s="26"/>
      <c r="S150" s="26"/>
    </row>
    <row r="151" spans="1:40" s="28" customFormat="1" x14ac:dyDescent="0.2">
      <c r="A151" s="177"/>
      <c r="B151" s="55"/>
      <c r="C151" s="32"/>
      <c r="D151" s="55"/>
      <c r="E151" s="32"/>
      <c r="F151" s="110"/>
      <c r="H151" s="177"/>
      <c r="I151" s="32"/>
      <c r="J151" s="113"/>
      <c r="K151" s="112"/>
      <c r="M151" s="112"/>
      <c r="N151" s="110"/>
      <c r="O151" s="112"/>
      <c r="P151" s="112"/>
      <c r="Q151" s="177"/>
      <c r="R151" s="23"/>
      <c r="S151" s="23"/>
    </row>
    <row r="152" spans="1:40" s="28" customFormat="1" x14ac:dyDescent="0.2">
      <c r="A152" s="177"/>
      <c r="B152" s="55"/>
      <c r="C152" s="32"/>
      <c r="D152" s="55"/>
      <c r="E152" s="32"/>
      <c r="F152" s="110"/>
      <c r="H152" s="177"/>
      <c r="J152" s="112"/>
      <c r="K152" s="112"/>
      <c r="M152" s="112"/>
      <c r="N152" s="110"/>
      <c r="O152" s="112"/>
      <c r="P152" s="112"/>
      <c r="Q152" s="177"/>
      <c r="R152" s="23"/>
      <c r="S152" s="23"/>
    </row>
    <row r="153" spans="1:40" s="28" customFormat="1" x14ac:dyDescent="0.2">
      <c r="A153" s="177"/>
      <c r="B153" s="55"/>
      <c r="C153" s="32"/>
      <c r="D153" s="55"/>
      <c r="E153" s="32"/>
      <c r="F153" s="110"/>
      <c r="H153" s="177"/>
      <c r="J153" s="112"/>
      <c r="K153" s="112"/>
      <c r="M153" s="112"/>
      <c r="N153" s="110"/>
      <c r="O153" s="112"/>
      <c r="P153" s="112"/>
      <c r="Q153" s="177"/>
      <c r="R153" s="26"/>
      <c r="S153" s="26"/>
    </row>
    <row r="154" spans="1:40" s="28" customFormat="1" x14ac:dyDescent="0.2">
      <c r="A154" s="177"/>
      <c r="B154" s="55"/>
      <c r="C154" s="32"/>
      <c r="D154" s="55"/>
      <c r="E154" s="32"/>
      <c r="F154" s="110"/>
      <c r="H154" s="177"/>
      <c r="J154" s="112"/>
      <c r="K154" s="112"/>
      <c r="M154" s="112"/>
      <c r="N154" s="110"/>
      <c r="O154" s="112"/>
      <c r="P154" s="112"/>
      <c r="Q154" s="177"/>
      <c r="R154" s="26"/>
      <c r="S154" s="26"/>
    </row>
    <row r="155" spans="1:40" s="28" customFormat="1" x14ac:dyDescent="0.2">
      <c r="A155" s="33"/>
      <c r="B155" s="55"/>
      <c r="C155" s="32"/>
      <c r="D155" s="55"/>
      <c r="E155" s="32"/>
      <c r="F155" s="131"/>
      <c r="J155" s="112"/>
      <c r="K155" s="112"/>
      <c r="M155" s="112"/>
      <c r="N155" s="112"/>
      <c r="O155" s="112"/>
      <c r="P155" s="112"/>
      <c r="R155" s="26"/>
      <c r="S155" s="26"/>
    </row>
    <row r="156" spans="1:40" s="28" customFormat="1" x14ac:dyDescent="0.2">
      <c r="A156" s="33"/>
      <c r="B156" s="55"/>
      <c r="C156" s="32"/>
      <c r="D156" s="55"/>
      <c r="E156" s="32"/>
      <c r="F156" s="131"/>
      <c r="J156" s="112"/>
      <c r="K156" s="112"/>
      <c r="M156" s="112"/>
      <c r="N156" s="112"/>
      <c r="O156" s="112"/>
      <c r="P156" s="112"/>
      <c r="R156" s="32"/>
      <c r="S156" s="32"/>
      <c r="T156" s="23"/>
    </row>
    <row r="157" spans="1:40" s="28" customFormat="1" x14ac:dyDescent="0.2">
      <c r="A157" s="53"/>
      <c r="B157" s="55"/>
      <c r="C157" s="32"/>
      <c r="D157" s="55"/>
      <c r="E157" s="32"/>
      <c r="F157" s="109"/>
      <c r="H157" s="23"/>
      <c r="I157" s="32"/>
      <c r="J157" s="113"/>
      <c r="K157" s="112"/>
      <c r="L157" s="26"/>
      <c r="M157" s="112"/>
      <c r="N157" s="112"/>
      <c r="O157" s="112"/>
      <c r="P157" s="112"/>
      <c r="R157" s="32"/>
      <c r="S157" s="32"/>
      <c r="T157" s="23"/>
    </row>
    <row r="158" spans="1:40" s="28" customFormat="1" x14ac:dyDescent="0.2">
      <c r="A158" s="53"/>
      <c r="B158" s="55"/>
      <c r="C158" s="32"/>
      <c r="D158" s="55"/>
      <c r="E158" s="32"/>
      <c r="F158" s="109"/>
      <c r="I158" s="32"/>
      <c r="J158" s="113"/>
      <c r="K158" s="112"/>
      <c r="L158" s="26"/>
      <c r="M158" s="112"/>
      <c r="N158" s="102"/>
      <c r="O158" s="112"/>
      <c r="P158" s="112"/>
      <c r="R158" s="32"/>
      <c r="S158" s="32"/>
      <c r="T158" s="23"/>
    </row>
    <row r="159" spans="1:40" s="28" customFormat="1" x14ac:dyDescent="0.2">
      <c r="B159" s="55"/>
      <c r="C159" s="32"/>
      <c r="D159" s="55"/>
      <c r="E159" s="32"/>
      <c r="F159" s="128"/>
      <c r="H159" s="32"/>
      <c r="I159" s="32"/>
      <c r="J159" s="113"/>
      <c r="K159" s="112"/>
      <c r="L159" s="26"/>
      <c r="M159" s="112"/>
      <c r="N159" s="112"/>
      <c r="O159" s="112"/>
      <c r="P159" s="112"/>
      <c r="R159" s="32"/>
      <c r="S159" s="32"/>
      <c r="T159" s="23"/>
    </row>
    <row r="160" spans="1:40" s="28" customFormat="1" x14ac:dyDescent="0.2">
      <c r="A160" s="36"/>
      <c r="B160" s="55"/>
      <c r="C160" s="32"/>
      <c r="D160" s="55"/>
      <c r="E160" s="32"/>
      <c r="F160" s="128"/>
      <c r="I160" s="32"/>
      <c r="J160" s="113"/>
      <c r="K160" s="112"/>
      <c r="L160" s="26"/>
      <c r="M160" s="112"/>
      <c r="N160" s="113"/>
      <c r="O160" s="112"/>
      <c r="P160" s="112"/>
      <c r="R160" s="32"/>
      <c r="S160" s="32"/>
      <c r="T160" s="23"/>
    </row>
    <row r="161" spans="1:40" s="28" customFormat="1" x14ac:dyDescent="0.2">
      <c r="A161" s="36"/>
      <c r="B161" s="55"/>
      <c r="C161" s="32"/>
      <c r="D161" s="55"/>
      <c r="E161" s="32"/>
      <c r="F161" s="128"/>
      <c r="I161" s="32"/>
      <c r="J161" s="113"/>
      <c r="K161" s="112"/>
      <c r="L161" s="26"/>
      <c r="M161" s="112"/>
      <c r="N161" s="112"/>
      <c r="O161" s="112"/>
      <c r="P161" s="112"/>
      <c r="Q161" s="27"/>
      <c r="R161" s="32"/>
      <c r="S161" s="32"/>
      <c r="T161" s="23"/>
    </row>
    <row r="162" spans="1:40" s="28" customFormat="1" x14ac:dyDescent="0.2">
      <c r="B162" s="55"/>
      <c r="C162" s="32"/>
      <c r="D162" s="55"/>
      <c r="E162" s="32"/>
      <c r="F162" s="128"/>
      <c r="J162" s="112"/>
      <c r="K162" s="112"/>
      <c r="L162" s="26"/>
      <c r="M162" s="112"/>
      <c r="N162" s="112"/>
      <c r="O162" s="112"/>
      <c r="P162" s="112"/>
      <c r="Q162" s="23"/>
      <c r="R162" s="32"/>
      <c r="S162" s="32"/>
      <c r="T162" s="23"/>
    </row>
    <row r="163" spans="1:40" s="28" customFormat="1" x14ac:dyDescent="0.2">
      <c r="B163" s="55"/>
      <c r="C163" s="32"/>
      <c r="D163" s="55"/>
      <c r="E163" s="32"/>
      <c r="F163" s="128"/>
      <c r="J163" s="112"/>
      <c r="K163" s="112"/>
      <c r="L163" s="26"/>
      <c r="M163" s="112"/>
      <c r="N163" s="112"/>
      <c r="O163" s="112"/>
      <c r="P163" s="112"/>
      <c r="Q163" s="27"/>
      <c r="R163" s="32"/>
      <c r="S163" s="32"/>
      <c r="T163" s="23"/>
    </row>
    <row r="164" spans="1:40" s="28" customFormat="1" x14ac:dyDescent="0.2">
      <c r="B164" s="55"/>
      <c r="C164" s="32"/>
      <c r="D164" s="55"/>
      <c r="E164" s="32"/>
      <c r="F164" s="132"/>
      <c r="J164" s="112"/>
      <c r="K164" s="112"/>
      <c r="L164" s="26"/>
      <c r="M164" s="112"/>
      <c r="N164" s="112"/>
      <c r="O164" s="112"/>
      <c r="P164" s="112"/>
      <c r="Q164" s="32"/>
      <c r="R164" s="32"/>
      <c r="S164" s="32"/>
      <c r="T164" s="23"/>
    </row>
    <row r="165" spans="1:40" x14ac:dyDescent="0.2">
      <c r="A165" s="28"/>
      <c r="B165" s="55"/>
      <c r="C165" s="32"/>
      <c r="D165" s="55"/>
      <c r="E165" s="32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8"/>
      <c r="R165" s="32"/>
      <c r="S165" s="32"/>
      <c r="T165" s="25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x14ac:dyDescent="0.2">
      <c r="A166" s="28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8"/>
      <c r="R166" s="32"/>
      <c r="S166" s="32"/>
      <c r="T166" s="23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">
      <c r="A167" s="28"/>
      <c r="B167" s="26"/>
      <c r="C167" s="28"/>
      <c r="D167" s="26"/>
      <c r="E167" s="28"/>
      <c r="F167" s="133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8"/>
      <c r="R167" s="258"/>
      <c r="S167" s="258"/>
      <c r="T167" s="23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">
      <c r="A168" s="28"/>
      <c r="B168" s="26"/>
      <c r="C168" s="28"/>
      <c r="D168" s="26"/>
      <c r="E168" s="28"/>
      <c r="F168" s="134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258"/>
      <c r="S168" s="258"/>
      <c r="T168" s="23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">
      <c r="A169" s="23"/>
      <c r="B169" s="26"/>
      <c r="C169" s="28"/>
      <c r="D169" s="26"/>
      <c r="E169" s="28"/>
      <c r="F169" s="134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258"/>
      <c r="S169" s="258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">
      <c r="A170" s="28"/>
      <c r="B170" s="26"/>
      <c r="C170" s="28"/>
      <c r="D170" s="26"/>
      <c r="E170" s="28"/>
      <c r="F170" s="134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258"/>
      <c r="S170" s="258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">
      <c r="A171" s="32"/>
      <c r="B171" s="26"/>
      <c r="C171" s="28"/>
      <c r="D171" s="26"/>
      <c r="E171" s="28"/>
      <c r="F171" s="133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7"/>
      <c r="R171" s="258"/>
      <c r="S171" s="258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">
      <c r="A172" s="34"/>
      <c r="B172" s="26"/>
      <c r="C172" s="28"/>
      <c r="D172" s="26"/>
      <c r="E172" s="28"/>
      <c r="F172" s="133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7"/>
      <c r="R172" s="258"/>
      <c r="S172" s="258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">
      <c r="A173" s="35"/>
      <c r="B173" s="26"/>
      <c r="C173" s="28"/>
      <c r="D173" s="26"/>
      <c r="E173" s="28"/>
      <c r="F173" s="133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7"/>
      <c r="R173" s="258"/>
      <c r="S173" s="258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">
      <c r="A174" s="35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2"/>
      <c r="S174" s="3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">
      <c r="A175" s="35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2"/>
      <c r="S175" s="3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">
      <c r="A176" s="33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2"/>
      <c r="S176" s="3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">
      <c r="A177" s="33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55"/>
      <c r="S177" s="55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">
      <c r="A178" s="33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26"/>
      <c r="S178" s="26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">
      <c r="A179" s="33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26"/>
      <c r="S179" s="26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">
      <c r="A180" s="33"/>
      <c r="B180" s="26"/>
      <c r="C180" s="28"/>
      <c r="D180" s="26"/>
      <c r="E180" s="28"/>
      <c r="F180" s="131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26"/>
      <c r="S180" s="26"/>
      <c r="T180" s="28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">
      <c r="A181" s="33"/>
      <c r="B181" s="26"/>
      <c r="C181" s="28"/>
      <c r="D181" s="26"/>
      <c r="E181" s="28"/>
      <c r="F181" s="131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">
      <c r="A184" s="28"/>
      <c r="B184" s="26"/>
      <c r="C184" s="28"/>
      <c r="D184" s="26"/>
      <c r="E184" s="28"/>
      <c r="F184" s="128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s="32" customFormat="1" x14ac:dyDescent="0.2">
      <c r="A185" s="36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6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</row>
    <row r="186" spans="1:40" x14ac:dyDescent="0.2">
      <c r="A186" s="36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6"/>
      <c r="R186" s="26"/>
      <c r="S186" s="26"/>
      <c r="T186" s="32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6"/>
      <c r="R187" s="26"/>
      <c r="S187" s="26"/>
      <c r="T187" s="32"/>
      <c r="U187" s="23"/>
      <c r="V187" s="33"/>
      <c r="W187" s="28"/>
      <c r="X187" s="28"/>
      <c r="Y187" s="28"/>
      <c r="Z187" s="28"/>
      <c r="AA187" s="28"/>
      <c r="AB187" s="28"/>
      <c r="AC187" s="28"/>
      <c r="AD187" s="28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x14ac:dyDescent="0.2">
      <c r="A188" s="28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28"/>
      <c r="P188" s="128"/>
      <c r="Q188" s="26"/>
      <c r="R188" s="23"/>
      <c r="S188" s="23"/>
      <c r="T188" s="32"/>
      <c r="U188" s="23"/>
      <c r="V188" s="36"/>
      <c r="W188" s="28"/>
      <c r="X188" s="28"/>
      <c r="Y188" s="28"/>
      <c r="Z188" s="28"/>
      <c r="AA188" s="28"/>
      <c r="AB188" s="28"/>
      <c r="AC188" s="28"/>
      <c r="AD188" s="28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x14ac:dyDescent="0.2">
      <c r="A189" s="28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28"/>
      <c r="P189" s="128"/>
      <c r="Q189" s="26"/>
      <c r="R189" s="23"/>
      <c r="S189" s="23"/>
      <c r="T189" s="32"/>
      <c r="U189" s="23"/>
      <c r="V189" s="36"/>
      <c r="W189" s="28"/>
      <c r="X189" s="28"/>
      <c r="Y189" s="28"/>
      <c r="Z189" s="28"/>
      <c r="AA189" s="28"/>
      <c r="AB189" s="28"/>
      <c r="AC189" s="28"/>
      <c r="AD189" s="28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28"/>
      <c r="P190" s="128"/>
      <c r="Q190" s="26"/>
      <c r="R190" s="23"/>
      <c r="S190" s="23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3"/>
      <c r="W191" s="28"/>
      <c r="X191" s="28"/>
      <c r="Y191" s="28"/>
      <c r="Z191" s="28"/>
      <c r="AA191" s="28"/>
      <c r="AB191" s="28"/>
      <c r="AC191" s="28"/>
      <c r="AD191" s="28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3"/>
      <c r="W192" s="28"/>
      <c r="X192" s="28"/>
      <c r="Y192" s="28"/>
      <c r="Z192" s="28"/>
      <c r="AA192" s="28"/>
      <c r="AB192" s="28"/>
      <c r="AC192" s="28"/>
      <c r="AD192" s="28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x14ac:dyDescent="0.2">
      <c r="A204" s="28"/>
      <c r="B204" s="26"/>
      <c r="C204" s="28"/>
      <c r="D204" s="26"/>
      <c r="E204" s="28"/>
      <c r="F204" s="128"/>
      <c r="G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x14ac:dyDescent="0.2">
      <c r="A205" s="28"/>
      <c r="B205" s="26"/>
      <c r="C205" s="28"/>
      <c r="D205" s="26"/>
      <c r="E205" s="28"/>
      <c r="F205" s="128"/>
      <c r="G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s="32" customFormat="1" x14ac:dyDescent="0.2">
      <c r="A206" s="28"/>
      <c r="B206" s="26"/>
      <c r="C206" s="28"/>
      <c r="D206" s="26"/>
      <c r="E206" s="28"/>
      <c r="F206" s="128"/>
      <c r="G206" s="28"/>
      <c r="H206" s="2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</row>
    <row r="207" spans="1:40" s="32" customFormat="1" x14ac:dyDescent="0.2">
      <c r="A207" s="28"/>
      <c r="B207" s="26"/>
      <c r="C207" s="28"/>
      <c r="D207" s="26"/>
      <c r="E207" s="28"/>
      <c r="F207" s="128"/>
      <c r="G207" s="28"/>
      <c r="H207" s="2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</row>
    <row r="208" spans="1:40" s="32" customFormat="1" x14ac:dyDescent="0.2">
      <c r="A208" s="28"/>
      <c r="B208" s="26"/>
      <c r="C208" s="28"/>
      <c r="D208" s="26"/>
      <c r="E208" s="28"/>
      <c r="F208" s="128"/>
      <c r="G208" s="28"/>
      <c r="H208" s="2"/>
      <c r="I208" s="28"/>
      <c r="J208" s="112"/>
      <c r="K208" s="112"/>
      <c r="L208" s="26"/>
      <c r="M208" s="112"/>
      <c r="N208" s="89"/>
      <c r="O208" s="128"/>
      <c r="P208" s="128"/>
      <c r="Q208" s="26"/>
      <c r="R208" s="23"/>
      <c r="S208" s="23"/>
      <c r="T208" s="55"/>
    </row>
    <row r="209" spans="1:40" s="32" customFormat="1" x14ac:dyDescent="0.2">
      <c r="A209" s="28"/>
      <c r="B209" s="26"/>
      <c r="C209" s="28"/>
      <c r="D209" s="26"/>
      <c r="E209" s="28"/>
      <c r="F209" s="123"/>
      <c r="G209" s="28"/>
      <c r="H209" s="2"/>
      <c r="I209" s="28"/>
      <c r="J209" s="112"/>
      <c r="K209" s="112"/>
      <c r="L209" s="26"/>
      <c r="M209" s="112"/>
      <c r="N209" s="89"/>
      <c r="O209" s="128"/>
      <c r="P209" s="128"/>
      <c r="Q209" s="26"/>
      <c r="R209" s="23"/>
      <c r="S209" s="23"/>
      <c r="T209" s="26"/>
    </row>
    <row r="210" spans="1:40" s="32" customFormat="1" x14ac:dyDescent="0.2">
      <c r="A210" s="28"/>
      <c r="B210" s="26"/>
      <c r="C210" s="28"/>
      <c r="D210" s="26"/>
      <c r="E210" s="28"/>
      <c r="F210" s="123"/>
      <c r="G210" s="28"/>
      <c r="H210" s="2"/>
      <c r="I210" s="28"/>
      <c r="J210" s="112"/>
      <c r="K210" s="112"/>
      <c r="L210" s="26"/>
      <c r="M210" s="112"/>
      <c r="N210" s="89"/>
      <c r="O210" s="128"/>
      <c r="P210" s="128"/>
      <c r="Q210" s="26"/>
      <c r="R210" s="23"/>
      <c r="S210" s="23"/>
      <c r="T210" s="26"/>
    </row>
    <row r="211" spans="1:40" s="32" customFormat="1" x14ac:dyDescent="0.2">
      <c r="A211" s="28"/>
      <c r="B211" s="26"/>
      <c r="C211" s="28"/>
      <c r="D211" s="26"/>
      <c r="E211" s="28"/>
      <c r="F211" s="123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26"/>
    </row>
    <row r="212" spans="1:40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3"/>
      <c r="R212" s="23"/>
      <c r="S212" s="23"/>
      <c r="T212" s="26"/>
    </row>
    <row r="213" spans="1:40" s="32" customFormat="1" x14ac:dyDescent="0.2">
      <c r="A213" s="2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3"/>
      <c r="R213" s="23"/>
      <c r="S213" s="23"/>
      <c r="T213" s="26"/>
    </row>
    <row r="214" spans="1:40" s="32" customFormat="1" x14ac:dyDescent="0.2">
      <c r="A214" s="2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3"/>
      <c r="P214" s="123"/>
      <c r="Q214" s="3"/>
      <c r="R214" s="23"/>
      <c r="S214" s="23"/>
      <c r="T214" s="26"/>
    </row>
    <row r="215" spans="1:40" s="32" customFormat="1" x14ac:dyDescent="0.2">
      <c r="A215" s="2"/>
      <c r="B215" s="26"/>
      <c r="C215" s="28"/>
      <c r="D215" s="26"/>
      <c r="E215" s="28"/>
      <c r="F215" s="123"/>
      <c r="G215" s="2"/>
      <c r="H215" s="2"/>
      <c r="I215" s="28"/>
      <c r="J215" s="112"/>
      <c r="K215" s="112"/>
      <c r="L215" s="26"/>
      <c r="M215" s="112"/>
      <c r="N215" s="89"/>
      <c r="O215" s="123"/>
      <c r="P215" s="123"/>
      <c r="Q215" s="3"/>
      <c r="R215" s="23"/>
      <c r="S215" s="23"/>
      <c r="T215" s="26"/>
    </row>
    <row r="216" spans="1:40" s="32" customFormat="1" x14ac:dyDescent="0.2">
      <c r="A216" s="2"/>
      <c r="B216" s="26"/>
      <c r="C216" s="28"/>
      <c r="D216" s="26"/>
      <c r="E216" s="28"/>
      <c r="F216" s="123"/>
      <c r="G216" s="2"/>
      <c r="H216" s="2"/>
      <c r="I216" s="28"/>
      <c r="J216" s="112"/>
      <c r="K216" s="112"/>
      <c r="L216" s="26"/>
      <c r="M216" s="112"/>
      <c r="N216" s="89"/>
      <c r="O216" s="123"/>
      <c r="P216" s="123"/>
      <c r="Q216" s="3"/>
      <c r="R216" s="23"/>
      <c r="S216" s="23"/>
      <c r="T216" s="26"/>
    </row>
    <row r="217" spans="1:40" s="32" customFormat="1" x14ac:dyDescent="0.2">
      <c r="A217" s="2"/>
      <c r="B217" s="26"/>
      <c r="C217" s="28"/>
      <c r="D217" s="26"/>
      <c r="E217" s="28"/>
      <c r="F217" s="123"/>
      <c r="G217" s="2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0" s="1" customFormat="1" x14ac:dyDescent="0.2">
      <c r="A218" s="2"/>
      <c r="B218" s="3"/>
      <c r="C218" s="2"/>
      <c r="D218" s="3"/>
      <c r="E218" s="2"/>
      <c r="F218" s="123"/>
      <c r="G218" s="2"/>
      <c r="H218" s="2"/>
      <c r="I218" s="2"/>
      <c r="J218" s="89"/>
      <c r="K218" s="89"/>
      <c r="L218" s="3"/>
      <c r="M218" s="89"/>
      <c r="N218" s="89"/>
      <c r="O218" s="123"/>
      <c r="P218" s="123"/>
      <c r="Q218" s="3"/>
      <c r="R218" s="4"/>
      <c r="S218" s="4"/>
      <c r="T218" s="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</row>
    <row r="219" spans="1:40" s="1" customFormat="1" x14ac:dyDescent="0.2">
      <c r="A219" s="2"/>
      <c r="B219" s="3"/>
      <c r="C219" s="2"/>
      <c r="D219" s="3"/>
      <c r="E219" s="2"/>
      <c r="F219" s="123"/>
      <c r="G219" s="2"/>
      <c r="H219" s="2"/>
      <c r="I219" s="2"/>
      <c r="J219" s="89"/>
      <c r="K219" s="89"/>
      <c r="L219" s="3"/>
      <c r="M219" s="89"/>
      <c r="N219" s="89"/>
      <c r="O219" s="123"/>
      <c r="P219" s="123"/>
      <c r="Q219" s="3"/>
      <c r="R219" s="4"/>
      <c r="S219" s="4"/>
      <c r="T219" s="2"/>
      <c r="U219" s="31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</row>
    <row r="220" spans="1:40" s="1" customFormat="1" x14ac:dyDescent="0.2">
      <c r="A220" s="2"/>
      <c r="B220" s="3"/>
      <c r="C220" s="2"/>
      <c r="D220" s="3"/>
      <c r="E220" s="2"/>
      <c r="F220" s="123"/>
      <c r="G220" s="2"/>
      <c r="H220" s="2"/>
      <c r="I220" s="2"/>
      <c r="J220" s="89"/>
      <c r="K220" s="89"/>
      <c r="L220" s="3"/>
      <c r="M220" s="89"/>
      <c r="N220" s="89"/>
      <c r="O220" s="123"/>
      <c r="P220" s="123"/>
      <c r="Q220" s="3"/>
      <c r="R220" s="4"/>
      <c r="S220" s="4"/>
      <c r="T220" s="2"/>
      <c r="U220" s="31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</row>
    <row r="221" spans="1:40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U221" s="31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</row>
    <row r="222" spans="1:40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3"/>
      <c r="S222" s="3"/>
      <c r="T222" s="22"/>
      <c r="U222" s="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</row>
    <row r="223" spans="1:40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3"/>
      <c r="S223" s="3"/>
      <c r="T223" s="2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</row>
    <row r="224" spans="1:40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3"/>
      <c r="S224" s="3"/>
      <c r="T224" s="2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</row>
    <row r="225" spans="1:40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</row>
    <row r="226" spans="1:40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</row>
    <row r="227" spans="1:40" x14ac:dyDescent="0.2">
      <c r="AE227" s="32"/>
      <c r="AF227" s="32"/>
      <c r="AG227" s="32"/>
    </row>
    <row r="231" spans="1:40" x14ac:dyDescent="0.2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x14ac:dyDescent="0.2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x14ac:dyDescent="0.2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2:40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2:40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2:40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2:40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2:40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2:40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2:40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2:40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2:40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2:40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2:40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2:40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2:40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2:40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2:40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2:40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2:40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2:40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2:40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2:40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3:L34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M35:M36"/>
    <mergeCell ref="M33:M34"/>
    <mergeCell ref="N33:N34"/>
    <mergeCell ref="O33:O34"/>
    <mergeCell ref="P33:P34"/>
    <mergeCell ref="Q33:Q34"/>
    <mergeCell ref="R33:R34"/>
    <mergeCell ref="A33:A34"/>
    <mergeCell ref="F33:F34"/>
    <mergeCell ref="G33:G34"/>
    <mergeCell ref="H33:H34"/>
    <mergeCell ref="I33:J34"/>
    <mergeCell ref="K33:K34"/>
    <mergeCell ref="T35:T36"/>
    <mergeCell ref="N35:N36"/>
    <mergeCell ref="A37:A38"/>
    <mergeCell ref="F37:F38"/>
    <mergeCell ref="G37:G38"/>
    <mergeCell ref="H37:H38"/>
    <mergeCell ref="I37:J38"/>
    <mergeCell ref="K37:K38"/>
    <mergeCell ref="L37:L38"/>
    <mergeCell ref="M37:M38"/>
    <mergeCell ref="N37:N38"/>
    <mergeCell ref="O35:O36"/>
    <mergeCell ref="P35:P36"/>
    <mergeCell ref="Q35:Q36"/>
    <mergeCell ref="R35:R36"/>
    <mergeCell ref="S35:S36"/>
    <mergeCell ref="K39:K40"/>
    <mergeCell ref="S41:S42"/>
    <mergeCell ref="T41:T42"/>
    <mergeCell ref="O37:O38"/>
    <mergeCell ref="P37:P38"/>
    <mergeCell ref="Q37:Q38"/>
    <mergeCell ref="R37:R38"/>
    <mergeCell ref="S37:S38"/>
    <mergeCell ref="T37:T38"/>
    <mergeCell ref="N41:N42"/>
    <mergeCell ref="O41:O42"/>
    <mergeCell ref="P41:P42"/>
    <mergeCell ref="Q41:Q42"/>
    <mergeCell ref="R41:R42"/>
    <mergeCell ref="L43:L44"/>
    <mergeCell ref="M43:M44"/>
    <mergeCell ref="M41:M42"/>
    <mergeCell ref="R39:R40"/>
    <mergeCell ref="S39:S40"/>
    <mergeCell ref="T39:T40"/>
    <mergeCell ref="A41:A42"/>
    <mergeCell ref="F41:F42"/>
    <mergeCell ref="G41:G42"/>
    <mergeCell ref="H41:H42"/>
    <mergeCell ref="I41:J42"/>
    <mergeCell ref="K41:K42"/>
    <mergeCell ref="L41:L42"/>
    <mergeCell ref="L39:L40"/>
    <mergeCell ref="M39:M40"/>
    <mergeCell ref="N39:N40"/>
    <mergeCell ref="O39:O40"/>
    <mergeCell ref="P39:P40"/>
    <mergeCell ref="Q39:Q40"/>
    <mergeCell ref="A39:A40"/>
    <mergeCell ref="F39:F40"/>
    <mergeCell ref="G39:G40"/>
    <mergeCell ref="H39:H40"/>
    <mergeCell ref="I39:J40"/>
    <mergeCell ref="O45:O46"/>
    <mergeCell ref="P45:P46"/>
    <mergeCell ref="Q45:Q46"/>
    <mergeCell ref="R45:R46"/>
    <mergeCell ref="S45:S46"/>
    <mergeCell ref="T45:T46"/>
    <mergeCell ref="T43:T44"/>
    <mergeCell ref="A45:A46"/>
    <mergeCell ref="F45:F46"/>
    <mergeCell ref="G45:G46"/>
    <mergeCell ref="H45:H46"/>
    <mergeCell ref="I45:J46"/>
    <mergeCell ref="K45:K46"/>
    <mergeCell ref="L45:L46"/>
    <mergeCell ref="M45:M46"/>
    <mergeCell ref="N45:N46"/>
    <mergeCell ref="N43:N44"/>
    <mergeCell ref="O43:O44"/>
    <mergeCell ref="P43:P44"/>
    <mergeCell ref="Q43:Q44"/>
    <mergeCell ref="R43:R44"/>
    <mergeCell ref="S43:S44"/>
    <mergeCell ref="A43:A44"/>
    <mergeCell ref="F43:F44"/>
    <mergeCell ref="G43:G44"/>
    <mergeCell ref="H43:H44"/>
    <mergeCell ref="I43:J44"/>
    <mergeCell ref="K43:K44"/>
    <mergeCell ref="A49:A50"/>
    <mergeCell ref="F49:F50"/>
    <mergeCell ref="G49:G50"/>
    <mergeCell ref="H49:H50"/>
    <mergeCell ref="I49:J50"/>
    <mergeCell ref="K49:K50"/>
    <mergeCell ref="L49:L50"/>
    <mergeCell ref="L47:L48"/>
    <mergeCell ref="M47:M48"/>
    <mergeCell ref="A47:A48"/>
    <mergeCell ref="F47:F48"/>
    <mergeCell ref="G47:G48"/>
    <mergeCell ref="H47:H48"/>
    <mergeCell ref="I47:J48"/>
    <mergeCell ref="K47:K48"/>
    <mergeCell ref="H51:H52"/>
    <mergeCell ref="I51:J52"/>
    <mergeCell ref="K51:K52"/>
    <mergeCell ref="L51:L52"/>
    <mergeCell ref="M51:M52"/>
    <mergeCell ref="M49:M50"/>
    <mergeCell ref="R47:R48"/>
    <mergeCell ref="S47:S48"/>
    <mergeCell ref="T47:T48"/>
    <mergeCell ref="N47:N48"/>
    <mergeCell ref="O47:O48"/>
    <mergeCell ref="P47:P48"/>
    <mergeCell ref="Q47:Q48"/>
    <mergeCell ref="S49:S50"/>
    <mergeCell ref="T49:T50"/>
    <mergeCell ref="N49:N50"/>
    <mergeCell ref="O49:O50"/>
    <mergeCell ref="P49:P50"/>
    <mergeCell ref="Q49:Q50"/>
    <mergeCell ref="R49:R50"/>
    <mergeCell ref="T51:T52"/>
    <mergeCell ref="N51:N52"/>
    <mergeCell ref="O51:O52"/>
    <mergeCell ref="P51:P52"/>
    <mergeCell ref="O53:O54"/>
    <mergeCell ref="P53:P54"/>
    <mergeCell ref="Q53:Q54"/>
    <mergeCell ref="R53:R54"/>
    <mergeCell ref="K55:K56"/>
    <mergeCell ref="S57:S58"/>
    <mergeCell ref="T57:T58"/>
    <mergeCell ref="S53:S54"/>
    <mergeCell ref="T53:T54"/>
    <mergeCell ref="T55:T56"/>
    <mergeCell ref="R57:R58"/>
    <mergeCell ref="A53:A54"/>
    <mergeCell ref="F53:F54"/>
    <mergeCell ref="G53:G54"/>
    <mergeCell ref="H53:H54"/>
    <mergeCell ref="I53:J54"/>
    <mergeCell ref="K53:K54"/>
    <mergeCell ref="L53:L54"/>
    <mergeCell ref="M53:M54"/>
    <mergeCell ref="N53:N54"/>
    <mergeCell ref="Q51:Q52"/>
    <mergeCell ref="R51:R52"/>
    <mergeCell ref="S51:S52"/>
    <mergeCell ref="A51:A52"/>
    <mergeCell ref="F51:F52"/>
    <mergeCell ref="G51:G52"/>
    <mergeCell ref="L59:L60"/>
    <mergeCell ref="M59:M60"/>
    <mergeCell ref="M57:M58"/>
    <mergeCell ref="R55:R56"/>
    <mergeCell ref="S55:S56"/>
    <mergeCell ref="A57:A58"/>
    <mergeCell ref="F57:F58"/>
    <mergeCell ref="G57:G58"/>
    <mergeCell ref="H57:H58"/>
    <mergeCell ref="I57:J58"/>
    <mergeCell ref="K57:K58"/>
    <mergeCell ref="L57:L58"/>
    <mergeCell ref="L55:L56"/>
    <mergeCell ref="M55:M56"/>
    <mergeCell ref="N55:N56"/>
    <mergeCell ref="O55:O56"/>
    <mergeCell ref="P55:P56"/>
    <mergeCell ref="Q55:Q56"/>
    <mergeCell ref="A55:A56"/>
    <mergeCell ref="F55:F56"/>
    <mergeCell ref="G55:G56"/>
    <mergeCell ref="H55:H56"/>
    <mergeCell ref="I55:J56"/>
    <mergeCell ref="N57:N58"/>
    <mergeCell ref="O57:O58"/>
    <mergeCell ref="P57:P58"/>
    <mergeCell ref="Q57:Q58"/>
    <mergeCell ref="O61:O62"/>
    <mergeCell ref="P61:P62"/>
    <mergeCell ref="Q61:Q62"/>
    <mergeCell ref="R61:R62"/>
    <mergeCell ref="S61:S62"/>
    <mergeCell ref="T61:T62"/>
    <mergeCell ref="T59:T60"/>
    <mergeCell ref="A61:A62"/>
    <mergeCell ref="F61:F62"/>
    <mergeCell ref="G61:G62"/>
    <mergeCell ref="H61:H62"/>
    <mergeCell ref="I61:J62"/>
    <mergeCell ref="K61:K62"/>
    <mergeCell ref="L61:L62"/>
    <mergeCell ref="M61:M62"/>
    <mergeCell ref="N61:N62"/>
    <mergeCell ref="N59:N60"/>
    <mergeCell ref="O59:O60"/>
    <mergeCell ref="P59:P60"/>
    <mergeCell ref="Q59:Q60"/>
    <mergeCell ref="R59:R60"/>
    <mergeCell ref="S59:S60"/>
    <mergeCell ref="A59:A60"/>
    <mergeCell ref="F59:F60"/>
    <mergeCell ref="G59:G60"/>
    <mergeCell ref="H59:H60"/>
    <mergeCell ref="I59:J60"/>
    <mergeCell ref="K59:K60"/>
    <mergeCell ref="A65:A66"/>
    <mergeCell ref="F65:F66"/>
    <mergeCell ref="G65:G66"/>
    <mergeCell ref="H65:H66"/>
    <mergeCell ref="I65:J66"/>
    <mergeCell ref="K65:K66"/>
    <mergeCell ref="L65:L66"/>
    <mergeCell ref="L63:L64"/>
    <mergeCell ref="M63:M64"/>
    <mergeCell ref="A63:A64"/>
    <mergeCell ref="F63:F64"/>
    <mergeCell ref="G63:G64"/>
    <mergeCell ref="H63:H64"/>
    <mergeCell ref="I63:J64"/>
    <mergeCell ref="K63:K64"/>
    <mergeCell ref="H67:H68"/>
    <mergeCell ref="I67:J68"/>
    <mergeCell ref="K67:K68"/>
    <mergeCell ref="L67:L68"/>
    <mergeCell ref="M67:M68"/>
    <mergeCell ref="M65:M66"/>
    <mergeCell ref="R63:R64"/>
    <mergeCell ref="S63:S64"/>
    <mergeCell ref="T63:T64"/>
    <mergeCell ref="N63:N64"/>
    <mergeCell ref="O63:O64"/>
    <mergeCell ref="P63:P64"/>
    <mergeCell ref="Q63:Q64"/>
    <mergeCell ref="S65:S66"/>
    <mergeCell ref="T65:T66"/>
    <mergeCell ref="N65:N66"/>
    <mergeCell ref="O65:O66"/>
    <mergeCell ref="P65:P66"/>
    <mergeCell ref="Q65:Q66"/>
    <mergeCell ref="R65:R66"/>
    <mergeCell ref="T67:T68"/>
    <mergeCell ref="N67:N68"/>
    <mergeCell ref="O67:O68"/>
    <mergeCell ref="P67:P68"/>
    <mergeCell ref="O69:O70"/>
    <mergeCell ref="P69:P70"/>
    <mergeCell ref="Q69:Q70"/>
    <mergeCell ref="R69:R70"/>
    <mergeCell ref="K71:K72"/>
    <mergeCell ref="S73:S74"/>
    <mergeCell ref="T73:T74"/>
    <mergeCell ref="S69:S70"/>
    <mergeCell ref="T69:T70"/>
    <mergeCell ref="T71:T72"/>
    <mergeCell ref="R73:R74"/>
    <mergeCell ref="A69:A70"/>
    <mergeCell ref="F69:F70"/>
    <mergeCell ref="G69:G70"/>
    <mergeCell ref="H69:H70"/>
    <mergeCell ref="I69:J70"/>
    <mergeCell ref="K69:K70"/>
    <mergeCell ref="L69:L70"/>
    <mergeCell ref="M69:M70"/>
    <mergeCell ref="N69:N70"/>
    <mergeCell ref="Q67:Q68"/>
    <mergeCell ref="R67:R68"/>
    <mergeCell ref="S67:S68"/>
    <mergeCell ref="A67:A68"/>
    <mergeCell ref="F67:F68"/>
    <mergeCell ref="G67:G68"/>
    <mergeCell ref="L75:L76"/>
    <mergeCell ref="M75:M76"/>
    <mergeCell ref="M73:M74"/>
    <mergeCell ref="R71:R72"/>
    <mergeCell ref="S71:S72"/>
    <mergeCell ref="A73:A74"/>
    <mergeCell ref="B73:F74"/>
    <mergeCell ref="G73:G74"/>
    <mergeCell ref="H73:H74"/>
    <mergeCell ref="I73:J74"/>
    <mergeCell ref="K73:K74"/>
    <mergeCell ref="L73:L74"/>
    <mergeCell ref="L71:L72"/>
    <mergeCell ref="M71:M72"/>
    <mergeCell ref="N71:N72"/>
    <mergeCell ref="O71:O72"/>
    <mergeCell ref="P71:P72"/>
    <mergeCell ref="Q71:Q72"/>
    <mergeCell ref="A71:A72"/>
    <mergeCell ref="G71:G72"/>
    <mergeCell ref="H71:H72"/>
    <mergeCell ref="I71:J72"/>
    <mergeCell ref="N73:N74"/>
    <mergeCell ref="O73:O74"/>
    <mergeCell ref="P73:P74"/>
    <mergeCell ref="Q73:Q74"/>
    <mergeCell ref="F71:F72"/>
    <mergeCell ref="P77:P78"/>
    <mergeCell ref="Q77:Q78"/>
    <mergeCell ref="R77:R78"/>
    <mergeCell ref="S77:S78"/>
    <mergeCell ref="T77:T78"/>
    <mergeCell ref="T75:T76"/>
    <mergeCell ref="A77:A78"/>
    <mergeCell ref="B77:F78"/>
    <mergeCell ref="G77:G78"/>
    <mergeCell ref="H77:H78"/>
    <mergeCell ref="I77:J78"/>
    <mergeCell ref="K77:K78"/>
    <mergeCell ref="L77:L78"/>
    <mergeCell ref="M77:M78"/>
    <mergeCell ref="N77:N78"/>
    <mergeCell ref="N75:N76"/>
    <mergeCell ref="O75:O76"/>
    <mergeCell ref="P75:P76"/>
    <mergeCell ref="Q75:Q76"/>
    <mergeCell ref="R75:R76"/>
    <mergeCell ref="S75:S76"/>
    <mergeCell ref="A75:A76"/>
    <mergeCell ref="B75:F76"/>
    <mergeCell ref="A79:A80"/>
    <mergeCell ref="B79:F80"/>
    <mergeCell ref="G79:G80"/>
    <mergeCell ref="H79:H80"/>
    <mergeCell ref="I79:J80"/>
    <mergeCell ref="K79:K80"/>
    <mergeCell ref="M87:O87"/>
    <mergeCell ref="G75:G76"/>
    <mergeCell ref="H75:H76"/>
    <mergeCell ref="I75:J76"/>
    <mergeCell ref="K75:K76"/>
    <mergeCell ref="L79:L80"/>
    <mergeCell ref="M79:M80"/>
    <mergeCell ref="N79:N80"/>
    <mergeCell ref="O79:O80"/>
    <mergeCell ref="O77:O78"/>
    <mergeCell ref="A81:A82"/>
    <mergeCell ref="B81:F82"/>
    <mergeCell ref="G81:G82"/>
    <mergeCell ref="H81:H82"/>
    <mergeCell ref="I81:J82"/>
    <mergeCell ref="K81:K82"/>
    <mergeCell ref="L81:L82"/>
    <mergeCell ref="M93:O93"/>
    <mergeCell ref="M89:O89"/>
    <mergeCell ref="M91:O91"/>
    <mergeCell ref="R79:R80"/>
    <mergeCell ref="S79:S80"/>
    <mergeCell ref="T79:T80"/>
    <mergeCell ref="M84:O84"/>
    <mergeCell ref="Q79:Q80"/>
    <mergeCell ref="P79:P80"/>
    <mergeCell ref="M81:M82"/>
    <mergeCell ref="N81:N82"/>
    <mergeCell ref="O81:O82"/>
    <mergeCell ref="P81:P82"/>
    <mergeCell ref="Q81:Q82"/>
    <mergeCell ref="R81:R82"/>
    <mergeCell ref="S81:S82"/>
    <mergeCell ref="T81:T82"/>
    <mergeCell ref="M86:O86"/>
    <mergeCell ref="Q87:R87"/>
    <mergeCell ref="M90:O90"/>
  </mergeCells>
  <dataValidations count="2">
    <dataValidation type="list" allowBlank="1" showInputMessage="1" showErrorMessage="1" sqref="G13">
      <formula1>#REF!</formula1>
    </dataValidation>
    <dataValidation type="list" allowBlank="1" showInputMessage="1" showErrorMessage="1" sqref="S31 S37:S76 S35 S33">
      <formula1>$A$95:$A$115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317"/>
  <sheetViews>
    <sheetView showGridLines="0" topLeftCell="B28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45" width="8.85546875" style="2" customWidth="1"/>
    <col min="46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63" t="s">
        <v>146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219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25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220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19" t="s">
        <v>52</v>
      </c>
      <c r="C13" s="228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17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18" t="s">
        <v>10</v>
      </c>
      <c r="B22" s="19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78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276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19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103">
        <f>SUM(P31:P82)</f>
        <v>0</v>
      </c>
      <c r="Q84" s="125"/>
      <c r="R84" s="213"/>
      <c r="S84" s="166" t="s">
        <v>81</v>
      </c>
      <c r="T84" s="103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217">
        <f>IF(G20-P84&gt;0,G20-P84,0)</f>
        <v>0</v>
      </c>
      <c r="Q86" s="218"/>
      <c r="R86" s="219"/>
      <c r="S86" s="220" t="s">
        <v>122</v>
      </c>
      <c r="T86" s="217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217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217">
        <f>T86*7.48</f>
        <v>0</v>
      </c>
      <c r="U87" s="217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217" t="str">
        <f>IF('Site Data'!E13="Yes",IF(G25-T84-IF(P84&gt;G20,P84-G20,0)&gt;0,G25-T84-IF(P84&gt;G20,P84-G20,0),0),"N/A")</f>
        <v>N/A</v>
      </c>
      <c r="U89" s="217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217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217" t="str">
        <f>IF(T89="N/A","N/A",T89*7.48)</f>
        <v>N/A</v>
      </c>
      <c r="U90" s="217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217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226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59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05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05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52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52"/>
      <c r="B124" s="26"/>
      <c r="D124" s="26"/>
      <c r="F124" s="109"/>
      <c r="H124" s="52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52"/>
      <c r="B125" s="26"/>
      <c r="D125" s="26"/>
      <c r="F125" s="109"/>
      <c r="G125" s="32"/>
      <c r="H125" s="52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52"/>
      <c r="B126" s="26"/>
      <c r="D126" s="26"/>
      <c r="F126" s="110"/>
      <c r="G126" s="32"/>
      <c r="H126" s="52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52"/>
      <c r="B128" s="26"/>
      <c r="D128" s="26"/>
      <c r="F128" s="109"/>
      <c r="G128" s="32"/>
      <c r="H128" s="52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52"/>
      <c r="B131" s="26"/>
      <c r="D131" s="26"/>
      <c r="F131" s="111"/>
      <c r="G131" s="32"/>
      <c r="H131" s="52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52"/>
      <c r="B132" s="55"/>
      <c r="C132" s="32"/>
      <c r="D132" s="55"/>
      <c r="E132" s="32"/>
      <c r="F132" s="110"/>
      <c r="G132" s="32"/>
      <c r="H132" s="52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52"/>
      <c r="B133" s="55"/>
      <c r="C133" s="32"/>
      <c r="D133" s="55"/>
      <c r="E133" s="32"/>
      <c r="F133" s="110"/>
      <c r="G133" s="32"/>
      <c r="H133" s="52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52"/>
      <c r="B134" s="55"/>
      <c r="C134" s="32"/>
      <c r="D134" s="55"/>
      <c r="E134" s="32"/>
      <c r="F134" s="110"/>
      <c r="G134" s="32"/>
      <c r="H134" s="52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52"/>
      <c r="B135" s="55"/>
      <c r="C135" s="32"/>
      <c r="D135" s="55"/>
      <c r="E135" s="32"/>
      <c r="F135" s="110"/>
      <c r="G135" s="32"/>
      <c r="H135" s="52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52"/>
      <c r="B136" s="55"/>
      <c r="C136" s="32"/>
      <c r="D136" s="55"/>
      <c r="E136" s="32"/>
      <c r="F136" s="110"/>
      <c r="G136" s="32"/>
      <c r="H136" s="52"/>
      <c r="I136" s="32"/>
      <c r="J136" s="113"/>
      <c r="K136" s="113"/>
      <c r="L136" s="32"/>
      <c r="M136" s="113"/>
      <c r="N136" s="110"/>
      <c r="O136" s="113"/>
      <c r="P136" s="113"/>
      <c r="Q136" s="52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52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52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52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52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52"/>
      <c r="B145" s="26"/>
      <c r="C145" s="28"/>
      <c r="D145" s="26"/>
      <c r="E145" s="28"/>
      <c r="F145" s="110"/>
      <c r="G145" s="32"/>
      <c r="H145" s="52"/>
      <c r="I145" s="32"/>
      <c r="J145" s="113"/>
      <c r="K145" s="113"/>
      <c r="L145" s="32"/>
      <c r="M145" s="113"/>
      <c r="N145" s="110"/>
      <c r="O145" s="113"/>
      <c r="P145" s="113"/>
      <c r="Q145" s="52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52"/>
      <c r="B146" s="26"/>
      <c r="C146" s="28"/>
      <c r="D146" s="26"/>
      <c r="E146" s="28"/>
      <c r="F146" s="110"/>
      <c r="G146" s="32"/>
      <c r="H146" s="52"/>
      <c r="I146" s="32"/>
      <c r="J146" s="113"/>
      <c r="K146" s="113"/>
      <c r="L146" s="32"/>
      <c r="M146" s="113"/>
      <c r="N146" s="110"/>
      <c r="O146" s="113"/>
      <c r="P146" s="113"/>
      <c r="Q146" s="52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52"/>
      <c r="B147" s="55"/>
      <c r="C147" s="32"/>
      <c r="D147" s="55"/>
      <c r="E147" s="32"/>
      <c r="F147" s="110"/>
      <c r="G147" s="32"/>
      <c r="H147" s="52"/>
      <c r="I147" s="32"/>
      <c r="J147" s="113"/>
      <c r="K147" s="113"/>
      <c r="L147" s="32"/>
      <c r="M147" s="113"/>
      <c r="N147" s="110"/>
      <c r="O147" s="113"/>
      <c r="P147" s="113"/>
      <c r="Q147" s="52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52"/>
      <c r="B150" s="55"/>
      <c r="C150" s="32"/>
      <c r="D150" s="55"/>
      <c r="E150" s="32"/>
      <c r="F150" s="110"/>
      <c r="G150" s="28"/>
      <c r="H150" s="52"/>
      <c r="I150" s="32"/>
      <c r="J150" s="113"/>
      <c r="K150" s="112"/>
      <c r="L150" s="28"/>
      <c r="M150" s="112"/>
      <c r="N150" s="110"/>
      <c r="O150" s="112"/>
      <c r="P150" s="112"/>
      <c r="Q150" s="52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52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52"/>
      <c r="B153" s="55"/>
      <c r="C153" s="32"/>
      <c r="D153" s="55"/>
      <c r="E153" s="32"/>
      <c r="F153" s="110"/>
      <c r="H153" s="52"/>
      <c r="I153" s="32"/>
      <c r="J153" s="113"/>
      <c r="K153" s="112"/>
      <c r="M153" s="112"/>
      <c r="N153" s="110"/>
      <c r="O153" s="112"/>
      <c r="P153" s="112"/>
      <c r="Q153" s="52"/>
      <c r="R153" s="26"/>
      <c r="S153" s="26"/>
    </row>
    <row r="154" spans="1:42" s="28" customFormat="1" x14ac:dyDescent="0.2">
      <c r="A154" s="52"/>
      <c r="B154" s="55"/>
      <c r="C154" s="32"/>
      <c r="D154" s="55"/>
      <c r="E154" s="32"/>
      <c r="F154" s="110"/>
      <c r="H154" s="52"/>
      <c r="I154" s="32"/>
      <c r="J154" s="113"/>
      <c r="K154" s="112"/>
      <c r="M154" s="112"/>
      <c r="N154" s="110"/>
      <c r="O154" s="112"/>
      <c r="P154" s="112"/>
      <c r="Q154" s="52"/>
      <c r="R154" s="23"/>
      <c r="S154" s="23"/>
    </row>
    <row r="155" spans="1:42" s="28" customFormat="1" x14ac:dyDescent="0.2">
      <c r="A155" s="52"/>
      <c r="B155" s="55"/>
      <c r="C155" s="32"/>
      <c r="D155" s="55"/>
      <c r="E155" s="32"/>
      <c r="F155" s="110"/>
      <c r="H155" s="52"/>
      <c r="J155" s="112"/>
      <c r="K155" s="112"/>
      <c r="M155" s="112"/>
      <c r="N155" s="110"/>
      <c r="O155" s="112"/>
      <c r="P155" s="112"/>
      <c r="Q155" s="52"/>
      <c r="R155" s="23"/>
      <c r="S155" s="23"/>
    </row>
    <row r="156" spans="1:42" s="28" customFormat="1" x14ac:dyDescent="0.2">
      <c r="A156" s="52"/>
      <c r="B156" s="55"/>
      <c r="C156" s="32"/>
      <c r="D156" s="55"/>
      <c r="E156" s="32"/>
      <c r="F156" s="110"/>
      <c r="H156" s="52"/>
      <c r="J156" s="112"/>
      <c r="K156" s="112"/>
      <c r="M156" s="112"/>
      <c r="N156" s="110"/>
      <c r="O156" s="112"/>
      <c r="P156" s="112"/>
      <c r="Q156" s="52"/>
      <c r="R156" s="26"/>
      <c r="S156" s="26"/>
    </row>
    <row r="157" spans="1:42" s="28" customFormat="1" x14ac:dyDescent="0.2">
      <c r="A157" s="52"/>
      <c r="B157" s="55"/>
      <c r="C157" s="32"/>
      <c r="D157" s="55"/>
      <c r="E157" s="32"/>
      <c r="F157" s="110"/>
      <c r="H157" s="52"/>
      <c r="J157" s="112"/>
      <c r="K157" s="112"/>
      <c r="M157" s="112"/>
      <c r="N157" s="110"/>
      <c r="O157" s="112"/>
      <c r="P157" s="112"/>
      <c r="Q157" s="52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57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57"/>
      <c r="S170" s="193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57"/>
      <c r="S171" s="193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57"/>
      <c r="S172" s="193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57"/>
      <c r="S173" s="193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57"/>
      <c r="S174" s="193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57"/>
      <c r="S175" s="193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57"/>
      <c r="S176" s="193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B81:F82"/>
    <mergeCell ref="B73:F74"/>
    <mergeCell ref="B75:F76"/>
    <mergeCell ref="P81:P82"/>
    <mergeCell ref="Q81:Q82"/>
    <mergeCell ref="R81:R82"/>
    <mergeCell ref="S81:S82"/>
    <mergeCell ref="T81:T82"/>
    <mergeCell ref="A73:A74"/>
    <mergeCell ref="G73:G74"/>
    <mergeCell ref="H73:H74"/>
    <mergeCell ref="I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A81:A82"/>
    <mergeCell ref="G81:G82"/>
    <mergeCell ref="H81:H82"/>
    <mergeCell ref="S39:S40"/>
    <mergeCell ref="T39:T40"/>
    <mergeCell ref="A79:A80"/>
    <mergeCell ref="G79:G80"/>
    <mergeCell ref="H79:H80"/>
    <mergeCell ref="I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I39:J40"/>
    <mergeCell ref="K39:K40"/>
    <mergeCell ref="B77:F78"/>
    <mergeCell ref="B79:F80"/>
    <mergeCell ref="L39:L40"/>
    <mergeCell ref="M39:M40"/>
    <mergeCell ref="N39:N40"/>
    <mergeCell ref="O39:O40"/>
    <mergeCell ref="P39:P40"/>
    <mergeCell ref="Q39:Q40"/>
    <mergeCell ref="R39:R40"/>
    <mergeCell ref="M93:O93"/>
    <mergeCell ref="S71:S72"/>
    <mergeCell ref="Q71:Q72"/>
    <mergeCell ref="R71:R72"/>
    <mergeCell ref="Q67:Q68"/>
    <mergeCell ref="R67:R68"/>
    <mergeCell ref="S67:S68"/>
    <mergeCell ref="Q69:Q70"/>
    <mergeCell ref="R69:R70"/>
    <mergeCell ref="S69:S70"/>
    <mergeCell ref="S63:S64"/>
    <mergeCell ref="Q65:Q66"/>
    <mergeCell ref="R65:R66"/>
    <mergeCell ref="S65:S66"/>
    <mergeCell ref="R63:R64"/>
    <mergeCell ref="S59:S60"/>
    <mergeCell ref="Q61:Q62"/>
    <mergeCell ref="O71:O72"/>
    <mergeCell ref="P71:P72"/>
    <mergeCell ref="R61:R62"/>
    <mergeCell ref="S77:S78"/>
    <mergeCell ref="P75:P76"/>
    <mergeCell ref="Q75:Q76"/>
    <mergeCell ref="R75:R76"/>
    <mergeCell ref="S75:S76"/>
    <mergeCell ref="A75:A76"/>
    <mergeCell ref="G75:G76"/>
    <mergeCell ref="H75:H76"/>
    <mergeCell ref="I75:J76"/>
    <mergeCell ref="K75:K76"/>
    <mergeCell ref="L75:L76"/>
    <mergeCell ref="M75:M76"/>
    <mergeCell ref="N75:N76"/>
    <mergeCell ref="P77:P78"/>
    <mergeCell ref="Q77:Q78"/>
    <mergeCell ref="R77:R78"/>
    <mergeCell ref="H71:H72"/>
    <mergeCell ref="A71:A72"/>
    <mergeCell ref="I71:J72"/>
    <mergeCell ref="K71:K72"/>
    <mergeCell ref="L71:L72"/>
    <mergeCell ref="M71:M72"/>
    <mergeCell ref="N71:N72"/>
    <mergeCell ref="A77:A78"/>
    <mergeCell ref="G77:G78"/>
    <mergeCell ref="H77:H78"/>
    <mergeCell ref="A69:A70"/>
    <mergeCell ref="H69:H70"/>
    <mergeCell ref="I69:J70"/>
    <mergeCell ref="K69:K70"/>
    <mergeCell ref="L69:L70"/>
    <mergeCell ref="M69:M70"/>
    <mergeCell ref="N69:N70"/>
    <mergeCell ref="O69:O70"/>
    <mergeCell ref="P69:P70"/>
    <mergeCell ref="A67:A68"/>
    <mergeCell ref="H67:H68"/>
    <mergeCell ref="I67:J68"/>
    <mergeCell ref="K67:K68"/>
    <mergeCell ref="L67:L68"/>
    <mergeCell ref="M67:M68"/>
    <mergeCell ref="N67:N68"/>
    <mergeCell ref="O67:O68"/>
    <mergeCell ref="P67:P68"/>
    <mergeCell ref="A65:A66"/>
    <mergeCell ref="H65:H66"/>
    <mergeCell ref="I65:J66"/>
    <mergeCell ref="K65:K66"/>
    <mergeCell ref="L65:L66"/>
    <mergeCell ref="M65:M66"/>
    <mergeCell ref="N65:N66"/>
    <mergeCell ref="O65:O66"/>
    <mergeCell ref="P65:P66"/>
    <mergeCell ref="A63:A64"/>
    <mergeCell ref="H63:H64"/>
    <mergeCell ref="I63:J64"/>
    <mergeCell ref="K63:K64"/>
    <mergeCell ref="L63:L64"/>
    <mergeCell ref="M63:M64"/>
    <mergeCell ref="N63:N64"/>
    <mergeCell ref="O63:O64"/>
    <mergeCell ref="P63:P64"/>
    <mergeCell ref="S61:S62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61:A62"/>
    <mergeCell ref="H61:H62"/>
    <mergeCell ref="I61:J62"/>
    <mergeCell ref="K61:K62"/>
    <mergeCell ref="L61:L62"/>
    <mergeCell ref="M61:M62"/>
    <mergeCell ref="N61:N62"/>
    <mergeCell ref="O61:O62"/>
    <mergeCell ref="P61:P62"/>
    <mergeCell ref="S55:S56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H55:H56"/>
    <mergeCell ref="A55:A56"/>
    <mergeCell ref="I55:J56"/>
    <mergeCell ref="K55:K56"/>
    <mergeCell ref="L55:L56"/>
    <mergeCell ref="M55:M56"/>
    <mergeCell ref="N55:N56"/>
    <mergeCell ref="O55:O56"/>
    <mergeCell ref="P55:P56"/>
    <mergeCell ref="S51:S52"/>
    <mergeCell ref="H53:H54"/>
    <mergeCell ref="A53:A54"/>
    <mergeCell ref="I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H51:H52"/>
    <mergeCell ref="A51:A52"/>
    <mergeCell ref="I51:J52"/>
    <mergeCell ref="K51:K52"/>
    <mergeCell ref="L51:L52"/>
    <mergeCell ref="M51:M52"/>
    <mergeCell ref="N51:N52"/>
    <mergeCell ref="O51:O52"/>
    <mergeCell ref="P51:P52"/>
    <mergeCell ref="S49:S50"/>
    <mergeCell ref="H47:H48"/>
    <mergeCell ref="A47:A48"/>
    <mergeCell ref="I47:J48"/>
    <mergeCell ref="K47:K48"/>
    <mergeCell ref="L47:L48"/>
    <mergeCell ref="M47:M48"/>
    <mergeCell ref="N47:N48"/>
    <mergeCell ref="O47:O48"/>
    <mergeCell ref="P47:P48"/>
    <mergeCell ref="A49:A50"/>
    <mergeCell ref="I49:J50"/>
    <mergeCell ref="K49:K50"/>
    <mergeCell ref="L49:L50"/>
    <mergeCell ref="M49:M50"/>
    <mergeCell ref="N49:N50"/>
    <mergeCell ref="O49:O50"/>
    <mergeCell ref="P49:P50"/>
    <mergeCell ref="Q49:Q50"/>
    <mergeCell ref="G49:G50"/>
    <mergeCell ref="A39:A40"/>
    <mergeCell ref="F39:F40"/>
    <mergeCell ref="G39:G40"/>
    <mergeCell ref="H39:H40"/>
    <mergeCell ref="S43:S44"/>
    <mergeCell ref="H45:H46"/>
    <mergeCell ref="A45:A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H43:H44"/>
    <mergeCell ref="A43:A44"/>
    <mergeCell ref="I43:J44"/>
    <mergeCell ref="K43:K44"/>
    <mergeCell ref="L43:L44"/>
    <mergeCell ref="M43:M44"/>
    <mergeCell ref="N43:N44"/>
    <mergeCell ref="A41:A42"/>
    <mergeCell ref="I41:J42"/>
    <mergeCell ref="K41:K42"/>
    <mergeCell ref="L41:L42"/>
    <mergeCell ref="M41:M42"/>
    <mergeCell ref="N41:N42"/>
    <mergeCell ref="O41:O42"/>
    <mergeCell ref="P41:P42"/>
    <mergeCell ref="Q41:Q42"/>
    <mergeCell ref="A37:A38"/>
    <mergeCell ref="I37:J38"/>
    <mergeCell ref="K37:K38"/>
    <mergeCell ref="L37:L38"/>
    <mergeCell ref="M37:M38"/>
    <mergeCell ref="N37:N38"/>
    <mergeCell ref="O37:O38"/>
    <mergeCell ref="P37:P38"/>
    <mergeCell ref="H37:H38"/>
    <mergeCell ref="A33:A34"/>
    <mergeCell ref="F33:F34"/>
    <mergeCell ref="G33:G34"/>
    <mergeCell ref="H33:H34"/>
    <mergeCell ref="I33:J34"/>
    <mergeCell ref="K33:K34"/>
    <mergeCell ref="L33:L34"/>
    <mergeCell ref="M33:M34"/>
    <mergeCell ref="N33:N34"/>
    <mergeCell ref="A31:A32"/>
    <mergeCell ref="H31:H32"/>
    <mergeCell ref="K31:K32"/>
    <mergeCell ref="L31:L32"/>
    <mergeCell ref="M31:M32"/>
    <mergeCell ref="N31:N32"/>
    <mergeCell ref="O31:O32"/>
    <mergeCell ref="P31:P32"/>
    <mergeCell ref="Q31:Q32"/>
    <mergeCell ref="M91:O91"/>
    <mergeCell ref="D29:E29"/>
    <mergeCell ref="R29:R30"/>
    <mergeCell ref="S29:S30"/>
    <mergeCell ref="N29:N30"/>
    <mergeCell ref="M29:M30"/>
    <mergeCell ref="O29:O30"/>
    <mergeCell ref="P29:P30"/>
    <mergeCell ref="Q29:Q30"/>
    <mergeCell ref="K29:K30"/>
    <mergeCell ref="L29:L30"/>
    <mergeCell ref="Q43:Q44"/>
    <mergeCell ref="Q47:Q48"/>
    <mergeCell ref="Q51:Q52"/>
    <mergeCell ref="Q55:Q56"/>
    <mergeCell ref="Q59:Q60"/>
    <mergeCell ref="Q63:Q64"/>
    <mergeCell ref="R43:R44"/>
    <mergeCell ref="R47:R48"/>
    <mergeCell ref="R51:R52"/>
    <mergeCell ref="R55:R56"/>
    <mergeCell ref="R59:R60"/>
    <mergeCell ref="S31:S32"/>
    <mergeCell ref="M89:O89"/>
    <mergeCell ref="M84:O84"/>
    <mergeCell ref="O75:O76"/>
    <mergeCell ref="I77:J78"/>
    <mergeCell ref="K77:K78"/>
    <mergeCell ref="L77:L78"/>
    <mergeCell ref="M77:M78"/>
    <mergeCell ref="N77:N78"/>
    <mergeCell ref="O77:O78"/>
    <mergeCell ref="O81:O82"/>
    <mergeCell ref="I81:J82"/>
    <mergeCell ref="K81:K82"/>
    <mergeCell ref="L81:L82"/>
    <mergeCell ref="M81:M82"/>
    <mergeCell ref="N81:N82"/>
    <mergeCell ref="T71:T72"/>
    <mergeCell ref="T77:T78"/>
    <mergeCell ref="T75:T76"/>
    <mergeCell ref="Q87:R87"/>
    <mergeCell ref="S35:S36"/>
    <mergeCell ref="A1:H1"/>
    <mergeCell ref="A29:A30"/>
    <mergeCell ref="H29:H30"/>
    <mergeCell ref="I29:J30"/>
    <mergeCell ref="B29:C29"/>
    <mergeCell ref="G51:G52"/>
    <mergeCell ref="G53:G54"/>
    <mergeCell ref="G55:G56"/>
    <mergeCell ref="G57:G58"/>
    <mergeCell ref="G59:G60"/>
    <mergeCell ref="G61:G62"/>
    <mergeCell ref="G63:G64"/>
    <mergeCell ref="G65:G66"/>
    <mergeCell ref="A35:A36"/>
    <mergeCell ref="K35:K36"/>
    <mergeCell ref="L35:L36"/>
    <mergeCell ref="M35:M36"/>
    <mergeCell ref="N35:N36"/>
    <mergeCell ref="O35:O36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S37:S38"/>
    <mergeCell ref="H41:H42"/>
    <mergeCell ref="T51:T52"/>
    <mergeCell ref="T49:T50"/>
    <mergeCell ref="T31:T32"/>
    <mergeCell ref="T35:T36"/>
    <mergeCell ref="T37:T38"/>
    <mergeCell ref="T41:T42"/>
    <mergeCell ref="T43:T44"/>
    <mergeCell ref="T45:T46"/>
    <mergeCell ref="T47:T48"/>
    <mergeCell ref="P35:P36"/>
    <mergeCell ref="Q35:Q36"/>
    <mergeCell ref="R35:R36"/>
    <mergeCell ref="O33:O34"/>
    <mergeCell ref="P33:P34"/>
    <mergeCell ref="Q33:Q34"/>
    <mergeCell ref="R41:R42"/>
    <mergeCell ref="S41:S42"/>
    <mergeCell ref="O43:O44"/>
    <mergeCell ref="P43:P44"/>
    <mergeCell ref="S47:S48"/>
    <mergeCell ref="H49:H50"/>
    <mergeCell ref="R49:R50"/>
    <mergeCell ref="M86:O86"/>
    <mergeCell ref="T29:T30"/>
    <mergeCell ref="F29:G29"/>
    <mergeCell ref="G31:G32"/>
    <mergeCell ref="G35:G36"/>
    <mergeCell ref="G37:G38"/>
    <mergeCell ref="G41:G42"/>
    <mergeCell ref="G43:G44"/>
    <mergeCell ref="G45:G46"/>
    <mergeCell ref="G47:G48"/>
    <mergeCell ref="F31:F32"/>
    <mergeCell ref="F35:F36"/>
    <mergeCell ref="F37:F38"/>
    <mergeCell ref="F41:F42"/>
    <mergeCell ref="F43:F44"/>
    <mergeCell ref="F45:F46"/>
    <mergeCell ref="F47:F48"/>
    <mergeCell ref="H35:H36"/>
    <mergeCell ref="I35:J36"/>
    <mergeCell ref="I31:J32"/>
    <mergeCell ref="R31:R32"/>
    <mergeCell ref="Q37:Q38"/>
    <mergeCell ref="R33:R34"/>
    <mergeCell ref="R37:R38"/>
    <mergeCell ref="S33:S34"/>
    <mergeCell ref="T33:T34"/>
    <mergeCell ref="M90:O90"/>
    <mergeCell ref="G67:G68"/>
    <mergeCell ref="G69:G70"/>
    <mergeCell ref="G71:G72"/>
    <mergeCell ref="D20:F20"/>
    <mergeCell ref="D21:F21"/>
    <mergeCell ref="D22:F22"/>
    <mergeCell ref="D25:F25"/>
    <mergeCell ref="D26:F26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M87:O87"/>
  </mergeCells>
  <phoneticPr fontId="2" type="noConversion"/>
  <dataValidations count="2">
    <dataValidation type="list" allowBlank="1" showInputMessage="1" showErrorMessage="1" sqref="S31 S37:S76 S35 S33">
      <formula1>$A$95:$A$115</formula1>
    </dataValidation>
    <dataValidation type="list" allowBlank="1" showInputMessage="1" showErrorMessage="1" sqref="G13">
      <formula1>#REF!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317"/>
  <sheetViews>
    <sheetView showGridLines="0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147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231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232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5:L36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5:S36"/>
    <mergeCell ref="T35:T36"/>
    <mergeCell ref="A37:A38"/>
    <mergeCell ref="F37:F38"/>
    <mergeCell ref="G37:G38"/>
    <mergeCell ref="H37:H38"/>
    <mergeCell ref="I37:J38"/>
    <mergeCell ref="K37:K38"/>
    <mergeCell ref="L37:L38"/>
    <mergeCell ref="M37:M38"/>
    <mergeCell ref="M35:M36"/>
    <mergeCell ref="N35:N36"/>
    <mergeCell ref="O35:O36"/>
    <mergeCell ref="P35:P36"/>
    <mergeCell ref="Q35:Q36"/>
    <mergeCell ref="R35:R36"/>
    <mergeCell ref="A35:A36"/>
    <mergeCell ref="F35:F36"/>
    <mergeCell ref="G35:G36"/>
    <mergeCell ref="H35:H36"/>
    <mergeCell ref="I35:J36"/>
    <mergeCell ref="K35:K36"/>
    <mergeCell ref="T37:T38"/>
    <mergeCell ref="N37:N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O37:O38"/>
    <mergeCell ref="P37:P38"/>
    <mergeCell ref="Q37:Q38"/>
    <mergeCell ref="R37:R38"/>
    <mergeCell ref="S37:S38"/>
    <mergeCell ref="K41:K42"/>
    <mergeCell ref="S43:S44"/>
    <mergeCell ref="T43:T44"/>
    <mergeCell ref="O39:O40"/>
    <mergeCell ref="P39:P40"/>
    <mergeCell ref="Q39:Q40"/>
    <mergeCell ref="R39:R40"/>
    <mergeCell ref="S39:S40"/>
    <mergeCell ref="T39:T40"/>
    <mergeCell ref="N43:N44"/>
    <mergeCell ref="O43:O44"/>
    <mergeCell ref="P43:P44"/>
    <mergeCell ref="Q43:Q44"/>
    <mergeCell ref="R43:R44"/>
    <mergeCell ref="L45:L46"/>
    <mergeCell ref="M45:M46"/>
    <mergeCell ref="M43:M44"/>
    <mergeCell ref="R41:R42"/>
    <mergeCell ref="S41:S42"/>
    <mergeCell ref="T41:T42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N41:N42"/>
    <mergeCell ref="O41:O42"/>
    <mergeCell ref="P41:P42"/>
    <mergeCell ref="Q41:Q42"/>
    <mergeCell ref="A41:A42"/>
    <mergeCell ref="F41:F42"/>
    <mergeCell ref="G41:G42"/>
    <mergeCell ref="H41:H42"/>
    <mergeCell ref="I41:J42"/>
    <mergeCell ref="O47:O48"/>
    <mergeCell ref="P47:P48"/>
    <mergeCell ref="Q47:Q48"/>
    <mergeCell ref="R47:R48"/>
    <mergeCell ref="S47:S48"/>
    <mergeCell ref="T47:T48"/>
    <mergeCell ref="T45:T46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N45:N46"/>
    <mergeCell ref="O45:O46"/>
    <mergeCell ref="P45:P46"/>
    <mergeCell ref="Q45:Q46"/>
    <mergeCell ref="R45:R46"/>
    <mergeCell ref="S45:S46"/>
    <mergeCell ref="A45:A46"/>
    <mergeCell ref="F45:F46"/>
    <mergeCell ref="G45:G46"/>
    <mergeCell ref="H45:H46"/>
    <mergeCell ref="I45:J46"/>
    <mergeCell ref="K45:K46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A49:A50"/>
    <mergeCell ref="F49:F50"/>
    <mergeCell ref="G49:G50"/>
    <mergeCell ref="H49:H50"/>
    <mergeCell ref="I49:J50"/>
    <mergeCell ref="K49:K50"/>
    <mergeCell ref="H53:H54"/>
    <mergeCell ref="I53:J54"/>
    <mergeCell ref="K53:K54"/>
    <mergeCell ref="L53:L54"/>
    <mergeCell ref="M53:M54"/>
    <mergeCell ref="M51:M52"/>
    <mergeCell ref="R49:R50"/>
    <mergeCell ref="S49:S50"/>
    <mergeCell ref="T49:T50"/>
    <mergeCell ref="N49:N50"/>
    <mergeCell ref="O49:O50"/>
    <mergeCell ref="P49:P50"/>
    <mergeCell ref="Q49:Q50"/>
    <mergeCell ref="S51:S52"/>
    <mergeCell ref="T51:T52"/>
    <mergeCell ref="N51:N52"/>
    <mergeCell ref="O51:O52"/>
    <mergeCell ref="P51:P52"/>
    <mergeCell ref="Q51:Q52"/>
    <mergeCell ref="R51:R52"/>
    <mergeCell ref="T53:T54"/>
    <mergeCell ref="N53:N54"/>
    <mergeCell ref="O53:O54"/>
    <mergeCell ref="P53:P54"/>
    <mergeCell ref="O55:O56"/>
    <mergeCell ref="P55:P56"/>
    <mergeCell ref="Q55:Q56"/>
    <mergeCell ref="R55:R56"/>
    <mergeCell ref="K57:K58"/>
    <mergeCell ref="S59:S60"/>
    <mergeCell ref="T59:T60"/>
    <mergeCell ref="S55:S56"/>
    <mergeCell ref="T55:T56"/>
    <mergeCell ref="T57:T58"/>
    <mergeCell ref="R59:R60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Q53:Q54"/>
    <mergeCell ref="R53:R54"/>
    <mergeCell ref="S53:S54"/>
    <mergeCell ref="A53:A54"/>
    <mergeCell ref="F53:F54"/>
    <mergeCell ref="G53:G54"/>
    <mergeCell ref="L61:L62"/>
    <mergeCell ref="M61:M62"/>
    <mergeCell ref="M59:M60"/>
    <mergeCell ref="R57:R58"/>
    <mergeCell ref="S57:S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N59:N60"/>
    <mergeCell ref="O59:O60"/>
    <mergeCell ref="P59:P60"/>
    <mergeCell ref="Q59:Q60"/>
    <mergeCell ref="O63:O64"/>
    <mergeCell ref="P63:P64"/>
    <mergeCell ref="Q63:Q64"/>
    <mergeCell ref="R63:R64"/>
    <mergeCell ref="S63:S64"/>
    <mergeCell ref="T63:T64"/>
    <mergeCell ref="T61:T62"/>
    <mergeCell ref="A63:A64"/>
    <mergeCell ref="F63:F64"/>
    <mergeCell ref="G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F61:F62"/>
    <mergeCell ref="G61:G62"/>
    <mergeCell ref="H61:H62"/>
    <mergeCell ref="I61:J62"/>
    <mergeCell ref="K61:K62"/>
    <mergeCell ref="A67:A68"/>
    <mergeCell ref="F67:F68"/>
    <mergeCell ref="G67:G68"/>
    <mergeCell ref="H67:H68"/>
    <mergeCell ref="I67:J68"/>
    <mergeCell ref="K67:K68"/>
    <mergeCell ref="L67:L68"/>
    <mergeCell ref="L65:L66"/>
    <mergeCell ref="M65:M66"/>
    <mergeCell ref="A65:A66"/>
    <mergeCell ref="F65:F66"/>
    <mergeCell ref="G65:G66"/>
    <mergeCell ref="H65:H66"/>
    <mergeCell ref="I65:J66"/>
    <mergeCell ref="K65:K66"/>
    <mergeCell ref="H69:H70"/>
    <mergeCell ref="I69:J70"/>
    <mergeCell ref="K69:K70"/>
    <mergeCell ref="L69:L70"/>
    <mergeCell ref="M69:M70"/>
    <mergeCell ref="M67:M68"/>
    <mergeCell ref="R65:R66"/>
    <mergeCell ref="S65:S66"/>
    <mergeCell ref="T65:T66"/>
    <mergeCell ref="N65:N66"/>
    <mergeCell ref="O65:O66"/>
    <mergeCell ref="P65:P66"/>
    <mergeCell ref="Q65:Q66"/>
    <mergeCell ref="S67:S68"/>
    <mergeCell ref="T67:T68"/>
    <mergeCell ref="N67:N68"/>
    <mergeCell ref="O67:O68"/>
    <mergeCell ref="P67:P68"/>
    <mergeCell ref="Q67:Q68"/>
    <mergeCell ref="R67:R68"/>
    <mergeCell ref="T69:T70"/>
    <mergeCell ref="N69:N70"/>
    <mergeCell ref="O69:O70"/>
    <mergeCell ref="P69:P70"/>
    <mergeCell ref="O71:O72"/>
    <mergeCell ref="P71:P72"/>
    <mergeCell ref="Q71:Q72"/>
    <mergeCell ref="R71:R72"/>
    <mergeCell ref="K73:K74"/>
    <mergeCell ref="S75:S76"/>
    <mergeCell ref="T75:T76"/>
    <mergeCell ref="S71:S72"/>
    <mergeCell ref="T71:T72"/>
    <mergeCell ref="T73:T74"/>
    <mergeCell ref="R75:R76"/>
    <mergeCell ref="A71:A72"/>
    <mergeCell ref="F71:F72"/>
    <mergeCell ref="G71:G72"/>
    <mergeCell ref="H71:H72"/>
    <mergeCell ref="I71:J72"/>
    <mergeCell ref="K71:K72"/>
    <mergeCell ref="L71:L72"/>
    <mergeCell ref="M71:M72"/>
    <mergeCell ref="N71:N72"/>
    <mergeCell ref="Q69:Q70"/>
    <mergeCell ref="R69:R70"/>
    <mergeCell ref="S69:S70"/>
    <mergeCell ref="A69:A70"/>
    <mergeCell ref="F69:F70"/>
    <mergeCell ref="G69:G70"/>
    <mergeCell ref="L77:L78"/>
    <mergeCell ref="M77:M78"/>
    <mergeCell ref="M75:M76"/>
    <mergeCell ref="R73:R74"/>
    <mergeCell ref="S73:S74"/>
    <mergeCell ref="A75:A76"/>
    <mergeCell ref="B75:F76"/>
    <mergeCell ref="G75:G76"/>
    <mergeCell ref="H75:H76"/>
    <mergeCell ref="I75:J76"/>
    <mergeCell ref="K75:K76"/>
    <mergeCell ref="L75:L76"/>
    <mergeCell ref="L73:L74"/>
    <mergeCell ref="M73:M74"/>
    <mergeCell ref="N73:N74"/>
    <mergeCell ref="O73:O74"/>
    <mergeCell ref="P73:P74"/>
    <mergeCell ref="Q73:Q74"/>
    <mergeCell ref="A73:A74"/>
    <mergeCell ref="B73:F74"/>
    <mergeCell ref="G73:G74"/>
    <mergeCell ref="H73:H74"/>
    <mergeCell ref="I73:J74"/>
    <mergeCell ref="N75:N76"/>
    <mergeCell ref="O75:O76"/>
    <mergeCell ref="P75:P76"/>
    <mergeCell ref="Q75:Q76"/>
    <mergeCell ref="P79:P80"/>
    <mergeCell ref="Q79:Q80"/>
    <mergeCell ref="R79:R80"/>
    <mergeCell ref="S79:S80"/>
    <mergeCell ref="T79:T80"/>
    <mergeCell ref="T77:T78"/>
    <mergeCell ref="A79:A80"/>
    <mergeCell ref="B79:F80"/>
    <mergeCell ref="G79:G80"/>
    <mergeCell ref="H79:H80"/>
    <mergeCell ref="I79:J80"/>
    <mergeCell ref="K79:K80"/>
    <mergeCell ref="L79:L80"/>
    <mergeCell ref="M79:M80"/>
    <mergeCell ref="N79:N80"/>
    <mergeCell ref="N77:N78"/>
    <mergeCell ref="O77:O78"/>
    <mergeCell ref="P77:P78"/>
    <mergeCell ref="Q77:Q78"/>
    <mergeCell ref="R77:R78"/>
    <mergeCell ref="S77:S78"/>
    <mergeCell ref="A77:A78"/>
    <mergeCell ref="B77:F78"/>
    <mergeCell ref="A81:A82"/>
    <mergeCell ref="B81:F82"/>
    <mergeCell ref="G81:G82"/>
    <mergeCell ref="H81:H82"/>
    <mergeCell ref="I81:J82"/>
    <mergeCell ref="K81:K82"/>
    <mergeCell ref="M89:O89"/>
    <mergeCell ref="M90:O90"/>
    <mergeCell ref="G77:G78"/>
    <mergeCell ref="H77:H78"/>
    <mergeCell ref="I77:J78"/>
    <mergeCell ref="K77:K78"/>
    <mergeCell ref="L81:L82"/>
    <mergeCell ref="M81:M82"/>
    <mergeCell ref="N81:N82"/>
    <mergeCell ref="O81:O82"/>
    <mergeCell ref="O79:O80"/>
    <mergeCell ref="M91:O91"/>
    <mergeCell ref="M93:O93"/>
    <mergeCell ref="R81:R82"/>
    <mergeCell ref="S81:S82"/>
    <mergeCell ref="T81:T82"/>
    <mergeCell ref="M84:O84"/>
    <mergeCell ref="M86:O86"/>
    <mergeCell ref="M87:O87"/>
    <mergeCell ref="Q87:R87"/>
    <mergeCell ref="Q81:Q82"/>
    <mergeCell ref="P81:P82"/>
    <mergeCell ref="O33:O34"/>
    <mergeCell ref="P33:P34"/>
    <mergeCell ref="Q33:Q34"/>
    <mergeCell ref="R33:R34"/>
    <mergeCell ref="S33:S34"/>
    <mergeCell ref="T33:T34"/>
    <mergeCell ref="A33:A34"/>
    <mergeCell ref="F33:F34"/>
    <mergeCell ref="G33:G34"/>
    <mergeCell ref="H33:H34"/>
    <mergeCell ref="I33:J34"/>
    <mergeCell ref="K33:K34"/>
    <mergeCell ref="L33:L34"/>
    <mergeCell ref="M33:M34"/>
    <mergeCell ref="N33:N34"/>
  </mergeCells>
  <dataValidations count="2">
    <dataValidation type="list" allowBlank="1" showInputMessage="1" showErrorMessage="1" sqref="S31 S37:S76 S35 S33">
      <formula1>$A$95:$A$115</formula1>
    </dataValidation>
    <dataValidation type="list" allowBlank="1" showInputMessage="1" showErrorMessage="1" sqref="G13">
      <formula1>#REF!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317"/>
  <sheetViews>
    <sheetView showGridLines="0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148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233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234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5:L36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5:S36"/>
    <mergeCell ref="T35:T36"/>
    <mergeCell ref="A37:A38"/>
    <mergeCell ref="F37:F38"/>
    <mergeCell ref="G37:G38"/>
    <mergeCell ref="H37:H38"/>
    <mergeCell ref="I37:J38"/>
    <mergeCell ref="K37:K38"/>
    <mergeCell ref="L37:L38"/>
    <mergeCell ref="M37:M38"/>
    <mergeCell ref="M35:M36"/>
    <mergeCell ref="N35:N36"/>
    <mergeCell ref="O35:O36"/>
    <mergeCell ref="P35:P36"/>
    <mergeCell ref="Q35:Q36"/>
    <mergeCell ref="R35:R36"/>
    <mergeCell ref="A35:A36"/>
    <mergeCell ref="F35:F36"/>
    <mergeCell ref="G35:G36"/>
    <mergeCell ref="H35:H36"/>
    <mergeCell ref="I35:J36"/>
    <mergeCell ref="K35:K36"/>
    <mergeCell ref="T37:T38"/>
    <mergeCell ref="N37:N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O37:O38"/>
    <mergeCell ref="P37:P38"/>
    <mergeCell ref="Q37:Q38"/>
    <mergeCell ref="R37:R38"/>
    <mergeCell ref="S37:S38"/>
    <mergeCell ref="K41:K42"/>
    <mergeCell ref="S43:S44"/>
    <mergeCell ref="T43:T44"/>
    <mergeCell ref="O39:O40"/>
    <mergeCell ref="P39:P40"/>
    <mergeCell ref="Q39:Q40"/>
    <mergeCell ref="R39:R40"/>
    <mergeCell ref="S39:S40"/>
    <mergeCell ref="T39:T40"/>
    <mergeCell ref="N43:N44"/>
    <mergeCell ref="O43:O44"/>
    <mergeCell ref="P43:P44"/>
    <mergeCell ref="Q43:Q44"/>
    <mergeCell ref="R43:R44"/>
    <mergeCell ref="L45:L46"/>
    <mergeCell ref="M45:M46"/>
    <mergeCell ref="M43:M44"/>
    <mergeCell ref="R41:R42"/>
    <mergeCell ref="S41:S42"/>
    <mergeCell ref="T41:T42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N41:N42"/>
    <mergeCell ref="O41:O42"/>
    <mergeCell ref="P41:P42"/>
    <mergeCell ref="Q41:Q42"/>
    <mergeCell ref="A41:A42"/>
    <mergeCell ref="F41:F42"/>
    <mergeCell ref="G41:G42"/>
    <mergeCell ref="H41:H42"/>
    <mergeCell ref="I41:J42"/>
    <mergeCell ref="O47:O48"/>
    <mergeCell ref="P47:P48"/>
    <mergeCell ref="Q47:Q48"/>
    <mergeCell ref="R47:R48"/>
    <mergeCell ref="S47:S48"/>
    <mergeCell ref="T47:T48"/>
    <mergeCell ref="T45:T46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N45:N46"/>
    <mergeCell ref="O45:O46"/>
    <mergeCell ref="P45:P46"/>
    <mergeCell ref="Q45:Q46"/>
    <mergeCell ref="R45:R46"/>
    <mergeCell ref="S45:S46"/>
    <mergeCell ref="A45:A46"/>
    <mergeCell ref="F45:F46"/>
    <mergeCell ref="G45:G46"/>
    <mergeCell ref="H45:H46"/>
    <mergeCell ref="I45:J46"/>
    <mergeCell ref="K45:K46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A49:A50"/>
    <mergeCell ref="F49:F50"/>
    <mergeCell ref="G49:G50"/>
    <mergeCell ref="H49:H50"/>
    <mergeCell ref="I49:J50"/>
    <mergeCell ref="K49:K50"/>
    <mergeCell ref="H53:H54"/>
    <mergeCell ref="I53:J54"/>
    <mergeCell ref="K53:K54"/>
    <mergeCell ref="L53:L54"/>
    <mergeCell ref="M53:M54"/>
    <mergeCell ref="M51:M52"/>
    <mergeCell ref="R49:R50"/>
    <mergeCell ref="S49:S50"/>
    <mergeCell ref="T49:T50"/>
    <mergeCell ref="N49:N50"/>
    <mergeCell ref="O49:O50"/>
    <mergeCell ref="P49:P50"/>
    <mergeCell ref="Q49:Q50"/>
    <mergeCell ref="S51:S52"/>
    <mergeCell ref="T51:T52"/>
    <mergeCell ref="N51:N52"/>
    <mergeCell ref="O51:O52"/>
    <mergeCell ref="P51:P52"/>
    <mergeCell ref="Q51:Q52"/>
    <mergeCell ref="R51:R52"/>
    <mergeCell ref="T53:T54"/>
    <mergeCell ref="N53:N54"/>
    <mergeCell ref="O53:O54"/>
    <mergeCell ref="P53:P54"/>
    <mergeCell ref="O55:O56"/>
    <mergeCell ref="P55:P56"/>
    <mergeCell ref="Q55:Q56"/>
    <mergeCell ref="R55:R56"/>
    <mergeCell ref="K57:K58"/>
    <mergeCell ref="S59:S60"/>
    <mergeCell ref="T59:T60"/>
    <mergeCell ref="S55:S56"/>
    <mergeCell ref="T55:T56"/>
    <mergeCell ref="T57:T58"/>
    <mergeCell ref="R59:R60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Q53:Q54"/>
    <mergeCell ref="R53:R54"/>
    <mergeCell ref="S53:S54"/>
    <mergeCell ref="A53:A54"/>
    <mergeCell ref="F53:F54"/>
    <mergeCell ref="G53:G54"/>
    <mergeCell ref="L61:L62"/>
    <mergeCell ref="M61:M62"/>
    <mergeCell ref="M59:M60"/>
    <mergeCell ref="R57:R58"/>
    <mergeCell ref="S57:S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N59:N60"/>
    <mergeCell ref="O59:O60"/>
    <mergeCell ref="P59:P60"/>
    <mergeCell ref="Q59:Q60"/>
    <mergeCell ref="O63:O64"/>
    <mergeCell ref="P63:P64"/>
    <mergeCell ref="Q63:Q64"/>
    <mergeCell ref="R63:R64"/>
    <mergeCell ref="S63:S64"/>
    <mergeCell ref="T63:T64"/>
    <mergeCell ref="T61:T62"/>
    <mergeCell ref="A63:A64"/>
    <mergeCell ref="F63:F64"/>
    <mergeCell ref="G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F61:F62"/>
    <mergeCell ref="G61:G62"/>
    <mergeCell ref="H61:H62"/>
    <mergeCell ref="I61:J62"/>
    <mergeCell ref="K61:K62"/>
    <mergeCell ref="A67:A68"/>
    <mergeCell ref="F67:F68"/>
    <mergeCell ref="G67:G68"/>
    <mergeCell ref="H67:H68"/>
    <mergeCell ref="I67:J68"/>
    <mergeCell ref="K67:K68"/>
    <mergeCell ref="L67:L68"/>
    <mergeCell ref="L65:L66"/>
    <mergeCell ref="M65:M66"/>
    <mergeCell ref="A65:A66"/>
    <mergeCell ref="F65:F66"/>
    <mergeCell ref="G65:G66"/>
    <mergeCell ref="H65:H66"/>
    <mergeCell ref="I65:J66"/>
    <mergeCell ref="K65:K66"/>
    <mergeCell ref="H69:H70"/>
    <mergeCell ref="I69:J70"/>
    <mergeCell ref="K69:K70"/>
    <mergeCell ref="L69:L70"/>
    <mergeCell ref="M69:M70"/>
    <mergeCell ref="M67:M68"/>
    <mergeCell ref="R65:R66"/>
    <mergeCell ref="S65:S66"/>
    <mergeCell ref="T65:T66"/>
    <mergeCell ref="N65:N66"/>
    <mergeCell ref="O65:O66"/>
    <mergeCell ref="P65:P66"/>
    <mergeCell ref="Q65:Q66"/>
    <mergeCell ref="S67:S68"/>
    <mergeCell ref="T67:T68"/>
    <mergeCell ref="N67:N68"/>
    <mergeCell ref="O67:O68"/>
    <mergeCell ref="P67:P68"/>
    <mergeCell ref="Q67:Q68"/>
    <mergeCell ref="R67:R68"/>
    <mergeCell ref="T69:T70"/>
    <mergeCell ref="N69:N70"/>
    <mergeCell ref="O69:O70"/>
    <mergeCell ref="P69:P70"/>
    <mergeCell ref="O71:O72"/>
    <mergeCell ref="P71:P72"/>
    <mergeCell ref="Q71:Q72"/>
    <mergeCell ref="R71:R72"/>
    <mergeCell ref="K73:K74"/>
    <mergeCell ref="S75:S76"/>
    <mergeCell ref="T75:T76"/>
    <mergeCell ref="S71:S72"/>
    <mergeCell ref="T71:T72"/>
    <mergeCell ref="T73:T74"/>
    <mergeCell ref="R75:R76"/>
    <mergeCell ref="A71:A72"/>
    <mergeCell ref="F71:F72"/>
    <mergeCell ref="G71:G72"/>
    <mergeCell ref="H71:H72"/>
    <mergeCell ref="I71:J72"/>
    <mergeCell ref="K71:K72"/>
    <mergeCell ref="L71:L72"/>
    <mergeCell ref="M71:M72"/>
    <mergeCell ref="N71:N72"/>
    <mergeCell ref="Q69:Q70"/>
    <mergeCell ref="R69:R70"/>
    <mergeCell ref="S69:S70"/>
    <mergeCell ref="A69:A70"/>
    <mergeCell ref="F69:F70"/>
    <mergeCell ref="G69:G70"/>
    <mergeCell ref="L77:L78"/>
    <mergeCell ref="M77:M78"/>
    <mergeCell ref="M75:M76"/>
    <mergeCell ref="R73:R74"/>
    <mergeCell ref="S73:S74"/>
    <mergeCell ref="A75:A76"/>
    <mergeCell ref="B75:F76"/>
    <mergeCell ref="G75:G76"/>
    <mergeCell ref="H75:H76"/>
    <mergeCell ref="I75:J76"/>
    <mergeCell ref="K75:K76"/>
    <mergeCell ref="L75:L76"/>
    <mergeCell ref="L73:L74"/>
    <mergeCell ref="M73:M74"/>
    <mergeCell ref="N73:N74"/>
    <mergeCell ref="O73:O74"/>
    <mergeCell ref="P73:P74"/>
    <mergeCell ref="Q73:Q74"/>
    <mergeCell ref="A73:A74"/>
    <mergeCell ref="B73:F74"/>
    <mergeCell ref="G73:G74"/>
    <mergeCell ref="H73:H74"/>
    <mergeCell ref="I73:J74"/>
    <mergeCell ref="N75:N76"/>
    <mergeCell ref="O75:O76"/>
    <mergeCell ref="P75:P76"/>
    <mergeCell ref="Q75:Q76"/>
    <mergeCell ref="P79:P80"/>
    <mergeCell ref="Q79:Q80"/>
    <mergeCell ref="R79:R80"/>
    <mergeCell ref="S79:S80"/>
    <mergeCell ref="T79:T80"/>
    <mergeCell ref="T77:T78"/>
    <mergeCell ref="A79:A80"/>
    <mergeCell ref="B79:F80"/>
    <mergeCell ref="G79:G80"/>
    <mergeCell ref="H79:H80"/>
    <mergeCell ref="I79:J80"/>
    <mergeCell ref="K79:K80"/>
    <mergeCell ref="L79:L80"/>
    <mergeCell ref="M79:M80"/>
    <mergeCell ref="N79:N80"/>
    <mergeCell ref="N77:N78"/>
    <mergeCell ref="O77:O78"/>
    <mergeCell ref="P77:P78"/>
    <mergeCell ref="Q77:Q78"/>
    <mergeCell ref="R77:R78"/>
    <mergeCell ref="S77:S78"/>
    <mergeCell ref="A77:A78"/>
    <mergeCell ref="B77:F78"/>
    <mergeCell ref="A81:A82"/>
    <mergeCell ref="B81:F82"/>
    <mergeCell ref="G81:G82"/>
    <mergeCell ref="H81:H82"/>
    <mergeCell ref="I81:J82"/>
    <mergeCell ref="K81:K82"/>
    <mergeCell ref="M89:O89"/>
    <mergeCell ref="M90:O90"/>
    <mergeCell ref="G77:G78"/>
    <mergeCell ref="H77:H78"/>
    <mergeCell ref="I77:J78"/>
    <mergeCell ref="K77:K78"/>
    <mergeCell ref="L81:L82"/>
    <mergeCell ref="M81:M82"/>
    <mergeCell ref="N81:N82"/>
    <mergeCell ref="O81:O82"/>
    <mergeCell ref="O79:O80"/>
    <mergeCell ref="M91:O91"/>
    <mergeCell ref="M93:O93"/>
    <mergeCell ref="R81:R82"/>
    <mergeCell ref="S81:S82"/>
    <mergeCell ref="T81:T82"/>
    <mergeCell ref="M84:O84"/>
    <mergeCell ref="M86:O86"/>
    <mergeCell ref="M87:O87"/>
    <mergeCell ref="Q87:R87"/>
    <mergeCell ref="Q81:Q82"/>
    <mergeCell ref="P81:P82"/>
    <mergeCell ref="O33:O34"/>
    <mergeCell ref="P33:P34"/>
    <mergeCell ref="Q33:Q34"/>
    <mergeCell ref="R33:R34"/>
    <mergeCell ref="S33:S34"/>
    <mergeCell ref="T33:T34"/>
    <mergeCell ref="A33:A34"/>
    <mergeCell ref="F33:F34"/>
    <mergeCell ref="G33:G34"/>
    <mergeCell ref="H33:H34"/>
    <mergeCell ref="I33:J34"/>
    <mergeCell ref="K33:K34"/>
    <mergeCell ref="L33:L34"/>
    <mergeCell ref="M33:M34"/>
    <mergeCell ref="N33:N34"/>
  </mergeCells>
  <dataValidations count="2">
    <dataValidation type="list" allowBlank="1" showInputMessage="1" showErrorMessage="1" sqref="S31 S37:S76 S35 S33">
      <formula1>$A$95:$A$115</formula1>
    </dataValidation>
    <dataValidation type="list" allowBlank="1" showInputMessage="1" showErrorMessage="1" sqref="G13">
      <formula1>#REF!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S317"/>
  <sheetViews>
    <sheetView showGridLines="0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149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235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236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7:L38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7:S38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M37:M38"/>
    <mergeCell ref="N37:N38"/>
    <mergeCell ref="O37:O38"/>
    <mergeCell ref="P37:P38"/>
    <mergeCell ref="Q37:Q38"/>
    <mergeCell ref="R37:R38"/>
    <mergeCell ref="A37:A38"/>
    <mergeCell ref="F37:F38"/>
    <mergeCell ref="G37:G38"/>
    <mergeCell ref="H37:H38"/>
    <mergeCell ref="I37:J38"/>
    <mergeCell ref="K37:K38"/>
    <mergeCell ref="T39:T40"/>
    <mergeCell ref="N39:N40"/>
    <mergeCell ref="A41:A42"/>
    <mergeCell ref="F41:F42"/>
    <mergeCell ref="G41:G42"/>
    <mergeCell ref="H41:H42"/>
    <mergeCell ref="I41:J42"/>
    <mergeCell ref="K41:K42"/>
    <mergeCell ref="L41:L42"/>
    <mergeCell ref="M41:M42"/>
    <mergeCell ref="N41:N42"/>
    <mergeCell ref="O39:O40"/>
    <mergeCell ref="P39:P40"/>
    <mergeCell ref="Q39:Q40"/>
    <mergeCell ref="R39:R40"/>
    <mergeCell ref="S39:S40"/>
    <mergeCell ref="K43:K44"/>
    <mergeCell ref="S45:S46"/>
    <mergeCell ref="T45:T46"/>
    <mergeCell ref="O41:O42"/>
    <mergeCell ref="P41:P42"/>
    <mergeCell ref="Q41:Q42"/>
    <mergeCell ref="R41:R42"/>
    <mergeCell ref="S41:S42"/>
    <mergeCell ref="T41:T42"/>
    <mergeCell ref="N45:N46"/>
    <mergeCell ref="O45:O46"/>
    <mergeCell ref="P45:P46"/>
    <mergeCell ref="Q45:Q46"/>
    <mergeCell ref="R45:R46"/>
    <mergeCell ref="L47:L48"/>
    <mergeCell ref="M47:M48"/>
    <mergeCell ref="M45:M46"/>
    <mergeCell ref="R43:R44"/>
    <mergeCell ref="S43:S44"/>
    <mergeCell ref="T43:T44"/>
    <mergeCell ref="A45:A46"/>
    <mergeCell ref="F45:F46"/>
    <mergeCell ref="G45:G46"/>
    <mergeCell ref="H45:H46"/>
    <mergeCell ref="I45:J46"/>
    <mergeCell ref="K45:K46"/>
    <mergeCell ref="L45:L46"/>
    <mergeCell ref="L43:L44"/>
    <mergeCell ref="M43:M44"/>
    <mergeCell ref="N43:N44"/>
    <mergeCell ref="O43:O44"/>
    <mergeCell ref="P43:P44"/>
    <mergeCell ref="Q43:Q44"/>
    <mergeCell ref="A43:A44"/>
    <mergeCell ref="F43:F44"/>
    <mergeCell ref="G43:G44"/>
    <mergeCell ref="H43:H44"/>
    <mergeCell ref="I43:J44"/>
    <mergeCell ref="O49:O50"/>
    <mergeCell ref="P49:P50"/>
    <mergeCell ref="Q49:Q50"/>
    <mergeCell ref="R49:R50"/>
    <mergeCell ref="S49:S50"/>
    <mergeCell ref="T49:T50"/>
    <mergeCell ref="T47:T48"/>
    <mergeCell ref="A49:A50"/>
    <mergeCell ref="F49:F50"/>
    <mergeCell ref="G49:G50"/>
    <mergeCell ref="H49:H50"/>
    <mergeCell ref="I49:J50"/>
    <mergeCell ref="K49:K50"/>
    <mergeCell ref="L49:L50"/>
    <mergeCell ref="M49:M50"/>
    <mergeCell ref="N49:N50"/>
    <mergeCell ref="N47:N48"/>
    <mergeCell ref="O47:O48"/>
    <mergeCell ref="P47:P48"/>
    <mergeCell ref="Q47:Q48"/>
    <mergeCell ref="R47:R48"/>
    <mergeCell ref="S47:S48"/>
    <mergeCell ref="A47:A48"/>
    <mergeCell ref="F47:F48"/>
    <mergeCell ref="G47:G48"/>
    <mergeCell ref="H47:H48"/>
    <mergeCell ref="I47:J48"/>
    <mergeCell ref="K47:K48"/>
    <mergeCell ref="A53:A54"/>
    <mergeCell ref="F53:F54"/>
    <mergeCell ref="G53:G54"/>
    <mergeCell ref="H53:H54"/>
    <mergeCell ref="I53:J54"/>
    <mergeCell ref="K53:K54"/>
    <mergeCell ref="L53:L54"/>
    <mergeCell ref="L51:L52"/>
    <mergeCell ref="M51:M52"/>
    <mergeCell ref="A51:A52"/>
    <mergeCell ref="F51:F52"/>
    <mergeCell ref="G51:G52"/>
    <mergeCell ref="H51:H52"/>
    <mergeCell ref="I51:J52"/>
    <mergeCell ref="K51:K52"/>
    <mergeCell ref="M55:M56"/>
    <mergeCell ref="M53:M54"/>
    <mergeCell ref="R51:R52"/>
    <mergeCell ref="S51:S52"/>
    <mergeCell ref="T51:T52"/>
    <mergeCell ref="N51:N52"/>
    <mergeCell ref="O51:O52"/>
    <mergeCell ref="P51:P52"/>
    <mergeCell ref="Q51:Q52"/>
    <mergeCell ref="S53:S54"/>
    <mergeCell ref="T53:T54"/>
    <mergeCell ref="N53:N54"/>
    <mergeCell ref="O53:O54"/>
    <mergeCell ref="P53:P54"/>
    <mergeCell ref="Q53:Q54"/>
    <mergeCell ref="R53:R54"/>
    <mergeCell ref="T55:T56"/>
    <mergeCell ref="N55:N56"/>
    <mergeCell ref="O55:O56"/>
    <mergeCell ref="P55:P56"/>
    <mergeCell ref="Q55:Q56"/>
    <mergeCell ref="R55:R56"/>
    <mergeCell ref="S55:S56"/>
    <mergeCell ref="P57:P58"/>
    <mergeCell ref="Q57:Q58"/>
    <mergeCell ref="R57:R58"/>
    <mergeCell ref="K59:K60"/>
    <mergeCell ref="S61:S62"/>
    <mergeCell ref="T61:T62"/>
    <mergeCell ref="S57:S58"/>
    <mergeCell ref="T57:T58"/>
    <mergeCell ref="T59:T60"/>
    <mergeCell ref="R61:R62"/>
    <mergeCell ref="A57:A58"/>
    <mergeCell ref="F57:F58"/>
    <mergeCell ref="G57:G58"/>
    <mergeCell ref="H57:H58"/>
    <mergeCell ref="I57:J58"/>
    <mergeCell ref="K57:K58"/>
    <mergeCell ref="L57:L58"/>
    <mergeCell ref="M57:M58"/>
    <mergeCell ref="N57:N58"/>
    <mergeCell ref="A55:A56"/>
    <mergeCell ref="F55:F56"/>
    <mergeCell ref="G55:G56"/>
    <mergeCell ref="L63:L64"/>
    <mergeCell ref="M63:M64"/>
    <mergeCell ref="M61:M62"/>
    <mergeCell ref="R59:R60"/>
    <mergeCell ref="S59:S60"/>
    <mergeCell ref="A61:A62"/>
    <mergeCell ref="F61:F62"/>
    <mergeCell ref="G61:G62"/>
    <mergeCell ref="H61:H62"/>
    <mergeCell ref="I61:J62"/>
    <mergeCell ref="K61:K62"/>
    <mergeCell ref="L61:L62"/>
    <mergeCell ref="L59:L60"/>
    <mergeCell ref="M59:M60"/>
    <mergeCell ref="N59:N60"/>
    <mergeCell ref="O59:O60"/>
    <mergeCell ref="P59:P60"/>
    <mergeCell ref="Q59:Q60"/>
    <mergeCell ref="A59:A60"/>
    <mergeCell ref="F59:F60"/>
    <mergeCell ref="G59:G60"/>
    <mergeCell ref="H59:H60"/>
    <mergeCell ref="I59:J60"/>
    <mergeCell ref="N61:N62"/>
    <mergeCell ref="O61:O62"/>
    <mergeCell ref="P61:P62"/>
    <mergeCell ref="Q61:Q62"/>
    <mergeCell ref="P65:P66"/>
    <mergeCell ref="Q65:Q66"/>
    <mergeCell ref="R65:R66"/>
    <mergeCell ref="S65:S66"/>
    <mergeCell ref="T65:T66"/>
    <mergeCell ref="T63:T64"/>
    <mergeCell ref="A65:A66"/>
    <mergeCell ref="F65:F66"/>
    <mergeCell ref="G65:G66"/>
    <mergeCell ref="H65:H66"/>
    <mergeCell ref="I65:J66"/>
    <mergeCell ref="K65:K66"/>
    <mergeCell ref="L65:L66"/>
    <mergeCell ref="M65:M66"/>
    <mergeCell ref="N65:N66"/>
    <mergeCell ref="N63:N64"/>
    <mergeCell ref="O63:O64"/>
    <mergeCell ref="P63:P64"/>
    <mergeCell ref="Q63:Q64"/>
    <mergeCell ref="R63:R64"/>
    <mergeCell ref="S63:S64"/>
    <mergeCell ref="A63:A64"/>
    <mergeCell ref="F63:F64"/>
    <mergeCell ref="G63:G64"/>
    <mergeCell ref="H63:H64"/>
    <mergeCell ref="I63:J64"/>
    <mergeCell ref="K63:K64"/>
    <mergeCell ref="A69:A70"/>
    <mergeCell ref="F69:F70"/>
    <mergeCell ref="G69:G70"/>
    <mergeCell ref="H69:H70"/>
    <mergeCell ref="I69:J70"/>
    <mergeCell ref="K69:K70"/>
    <mergeCell ref="T71:T72"/>
    <mergeCell ref="N71:N72"/>
    <mergeCell ref="O71:O72"/>
    <mergeCell ref="P71:P72"/>
    <mergeCell ref="L69:L70"/>
    <mergeCell ref="Q71:Q72"/>
    <mergeCell ref="R71:R72"/>
    <mergeCell ref="S71:S72"/>
    <mergeCell ref="A71:A72"/>
    <mergeCell ref="F71:F72"/>
    <mergeCell ref="G71:G72"/>
    <mergeCell ref="L67:L68"/>
    <mergeCell ref="M67:M68"/>
    <mergeCell ref="A67:A68"/>
    <mergeCell ref="F67:F68"/>
    <mergeCell ref="G67:G68"/>
    <mergeCell ref="H67:H68"/>
    <mergeCell ref="I67:J68"/>
    <mergeCell ref="K67:K68"/>
    <mergeCell ref="R67:R68"/>
    <mergeCell ref="S67:S68"/>
    <mergeCell ref="T67:T68"/>
    <mergeCell ref="N67:N68"/>
    <mergeCell ref="O67:O68"/>
    <mergeCell ref="P67:P68"/>
    <mergeCell ref="Q67:Q68"/>
    <mergeCell ref="S69:S70"/>
    <mergeCell ref="T69:T70"/>
    <mergeCell ref="N69:N70"/>
    <mergeCell ref="O69:O70"/>
    <mergeCell ref="P69:P70"/>
    <mergeCell ref="Q69:Q70"/>
    <mergeCell ref="R69:R70"/>
    <mergeCell ref="P73:P74"/>
    <mergeCell ref="Q73:Q74"/>
    <mergeCell ref="R73:R74"/>
    <mergeCell ref="K75:K76"/>
    <mergeCell ref="S77:S78"/>
    <mergeCell ref="T77:T78"/>
    <mergeCell ref="S73:S74"/>
    <mergeCell ref="T73:T74"/>
    <mergeCell ref="T75:T76"/>
    <mergeCell ref="R77:R78"/>
    <mergeCell ref="O77:O78"/>
    <mergeCell ref="P77:P78"/>
    <mergeCell ref="Q77:Q78"/>
    <mergeCell ref="A73:A74"/>
    <mergeCell ref="G73:G74"/>
    <mergeCell ref="H73:H74"/>
    <mergeCell ref="I73:J74"/>
    <mergeCell ref="K73:K74"/>
    <mergeCell ref="L73:L74"/>
    <mergeCell ref="M73:M74"/>
    <mergeCell ref="N73:N74"/>
    <mergeCell ref="B73:F74"/>
    <mergeCell ref="M77:M78"/>
    <mergeCell ref="R75:R76"/>
    <mergeCell ref="S75:S76"/>
    <mergeCell ref="A77:A78"/>
    <mergeCell ref="B77:F78"/>
    <mergeCell ref="G77:G78"/>
    <mergeCell ref="H77:H78"/>
    <mergeCell ref="I77:J78"/>
    <mergeCell ref="K77:K78"/>
    <mergeCell ref="L77:L78"/>
    <mergeCell ref="L75:L76"/>
    <mergeCell ref="M75:M76"/>
    <mergeCell ref="N75:N76"/>
    <mergeCell ref="O75:O76"/>
    <mergeCell ref="P75:P76"/>
    <mergeCell ref="Q75:Q76"/>
    <mergeCell ref="A75:A76"/>
    <mergeCell ref="B75:F76"/>
    <mergeCell ref="G75:G76"/>
    <mergeCell ref="H75:H76"/>
    <mergeCell ref="I75:J76"/>
    <mergeCell ref="N77:N78"/>
    <mergeCell ref="S81:S82"/>
    <mergeCell ref="T81:T82"/>
    <mergeCell ref="T79:T80"/>
    <mergeCell ref="A81:A82"/>
    <mergeCell ref="B81:F82"/>
    <mergeCell ref="G81:G82"/>
    <mergeCell ref="H81:H82"/>
    <mergeCell ref="I81:J82"/>
    <mergeCell ref="K81:K82"/>
    <mergeCell ref="L81:L82"/>
    <mergeCell ref="M81:M82"/>
    <mergeCell ref="N81:N82"/>
    <mergeCell ref="N79:N80"/>
    <mergeCell ref="O79:O80"/>
    <mergeCell ref="P79:P80"/>
    <mergeCell ref="Q79:Q80"/>
    <mergeCell ref="R79:R80"/>
    <mergeCell ref="S79:S80"/>
    <mergeCell ref="A79:A80"/>
    <mergeCell ref="B79:F80"/>
    <mergeCell ref="L79:L80"/>
    <mergeCell ref="M79:M80"/>
    <mergeCell ref="Q87:R87"/>
    <mergeCell ref="M90:O90"/>
    <mergeCell ref="M91:O91"/>
    <mergeCell ref="G79:G80"/>
    <mergeCell ref="H79:H80"/>
    <mergeCell ref="I79:J80"/>
    <mergeCell ref="K79:K80"/>
    <mergeCell ref="O81:O82"/>
    <mergeCell ref="P81:P82"/>
    <mergeCell ref="Q81:Q82"/>
    <mergeCell ref="R81:R82"/>
    <mergeCell ref="H35:H36"/>
    <mergeCell ref="I35:J36"/>
    <mergeCell ref="K35:K36"/>
    <mergeCell ref="L35:L36"/>
    <mergeCell ref="M35:M36"/>
    <mergeCell ref="N35:N36"/>
    <mergeCell ref="M93:O93"/>
    <mergeCell ref="M86:O86"/>
    <mergeCell ref="M89:O89"/>
    <mergeCell ref="M84:O84"/>
    <mergeCell ref="M87:O87"/>
    <mergeCell ref="O73:O74"/>
    <mergeCell ref="H71:H72"/>
    <mergeCell ref="I71:J72"/>
    <mergeCell ref="K71:K72"/>
    <mergeCell ref="L71:L72"/>
    <mergeCell ref="M71:M72"/>
    <mergeCell ref="M69:M70"/>
    <mergeCell ref="O65:O66"/>
    <mergeCell ref="O57:O58"/>
    <mergeCell ref="H55:H56"/>
    <mergeCell ref="I55:J56"/>
    <mergeCell ref="K55:K56"/>
    <mergeCell ref="L55:L56"/>
    <mergeCell ref="O35:O36"/>
    <mergeCell ref="P35:P36"/>
    <mergeCell ref="Q35:Q36"/>
    <mergeCell ref="R35:R36"/>
    <mergeCell ref="S35:S36"/>
    <mergeCell ref="T35:T36"/>
    <mergeCell ref="A33:A34"/>
    <mergeCell ref="F33:F34"/>
    <mergeCell ref="G33:G34"/>
    <mergeCell ref="H33:H34"/>
    <mergeCell ref="I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35:A36"/>
    <mergeCell ref="F35:F36"/>
    <mergeCell ref="G35:G36"/>
  </mergeCells>
  <dataValidations count="2">
    <dataValidation type="list" allowBlank="1" showInputMessage="1" showErrorMessage="1" sqref="S31 S37:S76 S35 S33">
      <formula1>$A$95:$A$115</formula1>
    </dataValidation>
    <dataValidation type="list" allowBlank="1" showInputMessage="1" showErrorMessage="1" sqref="G13">
      <formula1>#REF!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317"/>
  <sheetViews>
    <sheetView showGridLines="0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150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237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238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5:L36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5:S36"/>
    <mergeCell ref="T35:T36"/>
    <mergeCell ref="A37:A38"/>
    <mergeCell ref="F37:F38"/>
    <mergeCell ref="G37:G38"/>
    <mergeCell ref="H37:H38"/>
    <mergeCell ref="I37:J38"/>
    <mergeCell ref="K37:K38"/>
    <mergeCell ref="L37:L38"/>
    <mergeCell ref="M37:M38"/>
    <mergeCell ref="M35:M36"/>
    <mergeCell ref="N35:N36"/>
    <mergeCell ref="O35:O36"/>
    <mergeCell ref="P35:P36"/>
    <mergeCell ref="Q35:Q36"/>
    <mergeCell ref="R35:R36"/>
    <mergeCell ref="A35:A36"/>
    <mergeCell ref="F35:F36"/>
    <mergeCell ref="G35:G36"/>
    <mergeCell ref="H35:H36"/>
    <mergeCell ref="I35:J36"/>
    <mergeCell ref="K35:K36"/>
    <mergeCell ref="T37:T38"/>
    <mergeCell ref="N37:N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O37:O38"/>
    <mergeCell ref="P37:P38"/>
    <mergeCell ref="Q37:Q38"/>
    <mergeCell ref="R37:R38"/>
    <mergeCell ref="S37:S38"/>
    <mergeCell ref="K41:K42"/>
    <mergeCell ref="S43:S44"/>
    <mergeCell ref="T43:T44"/>
    <mergeCell ref="O39:O40"/>
    <mergeCell ref="P39:P40"/>
    <mergeCell ref="Q39:Q40"/>
    <mergeCell ref="R39:R40"/>
    <mergeCell ref="S39:S40"/>
    <mergeCell ref="T39:T40"/>
    <mergeCell ref="N43:N44"/>
    <mergeCell ref="O43:O44"/>
    <mergeCell ref="P43:P44"/>
    <mergeCell ref="Q43:Q44"/>
    <mergeCell ref="R43:R44"/>
    <mergeCell ref="L45:L46"/>
    <mergeCell ref="M45:M46"/>
    <mergeCell ref="M43:M44"/>
    <mergeCell ref="R41:R42"/>
    <mergeCell ref="S41:S42"/>
    <mergeCell ref="T41:T42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N41:N42"/>
    <mergeCell ref="O41:O42"/>
    <mergeCell ref="P41:P42"/>
    <mergeCell ref="Q41:Q42"/>
    <mergeCell ref="A41:A42"/>
    <mergeCell ref="F41:F42"/>
    <mergeCell ref="G41:G42"/>
    <mergeCell ref="H41:H42"/>
    <mergeCell ref="I41:J42"/>
    <mergeCell ref="O47:O48"/>
    <mergeCell ref="P47:P48"/>
    <mergeCell ref="Q47:Q48"/>
    <mergeCell ref="R47:R48"/>
    <mergeCell ref="S47:S48"/>
    <mergeCell ref="T47:T48"/>
    <mergeCell ref="T45:T46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N45:N46"/>
    <mergeCell ref="O45:O46"/>
    <mergeCell ref="P45:P46"/>
    <mergeCell ref="Q45:Q46"/>
    <mergeCell ref="R45:R46"/>
    <mergeCell ref="S45:S46"/>
    <mergeCell ref="A45:A46"/>
    <mergeCell ref="F45:F46"/>
    <mergeCell ref="G45:G46"/>
    <mergeCell ref="H45:H46"/>
    <mergeCell ref="I45:J46"/>
    <mergeCell ref="K45:K46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A49:A50"/>
    <mergeCell ref="F49:F50"/>
    <mergeCell ref="G49:G50"/>
    <mergeCell ref="H49:H50"/>
    <mergeCell ref="I49:J50"/>
    <mergeCell ref="K49:K50"/>
    <mergeCell ref="H53:H54"/>
    <mergeCell ref="I53:J54"/>
    <mergeCell ref="K53:K54"/>
    <mergeCell ref="L53:L54"/>
    <mergeCell ref="M53:M54"/>
    <mergeCell ref="M51:M52"/>
    <mergeCell ref="R49:R50"/>
    <mergeCell ref="S49:S50"/>
    <mergeCell ref="T49:T50"/>
    <mergeCell ref="N49:N50"/>
    <mergeCell ref="O49:O50"/>
    <mergeCell ref="P49:P50"/>
    <mergeCell ref="Q49:Q50"/>
    <mergeCell ref="S51:S52"/>
    <mergeCell ref="T51:T52"/>
    <mergeCell ref="N51:N52"/>
    <mergeCell ref="O51:O52"/>
    <mergeCell ref="P51:P52"/>
    <mergeCell ref="Q51:Q52"/>
    <mergeCell ref="R51:R52"/>
    <mergeCell ref="T53:T54"/>
    <mergeCell ref="N53:N54"/>
    <mergeCell ref="O53:O54"/>
    <mergeCell ref="P53:P54"/>
    <mergeCell ref="O55:O56"/>
    <mergeCell ref="P55:P56"/>
    <mergeCell ref="Q55:Q56"/>
    <mergeCell ref="R55:R56"/>
    <mergeCell ref="K57:K58"/>
    <mergeCell ref="S59:S60"/>
    <mergeCell ref="T59:T60"/>
    <mergeCell ref="S55:S56"/>
    <mergeCell ref="T55:T56"/>
    <mergeCell ref="T57:T58"/>
    <mergeCell ref="R59:R60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Q53:Q54"/>
    <mergeCell ref="R53:R54"/>
    <mergeCell ref="S53:S54"/>
    <mergeCell ref="A53:A54"/>
    <mergeCell ref="F53:F54"/>
    <mergeCell ref="G53:G54"/>
    <mergeCell ref="L61:L62"/>
    <mergeCell ref="M61:M62"/>
    <mergeCell ref="M59:M60"/>
    <mergeCell ref="R57:R58"/>
    <mergeCell ref="S57:S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N59:N60"/>
    <mergeCell ref="O59:O60"/>
    <mergeCell ref="P59:P60"/>
    <mergeCell ref="Q59:Q60"/>
    <mergeCell ref="O63:O64"/>
    <mergeCell ref="P63:P64"/>
    <mergeCell ref="Q63:Q64"/>
    <mergeCell ref="R63:R64"/>
    <mergeCell ref="S63:S64"/>
    <mergeCell ref="T63:T64"/>
    <mergeCell ref="T61:T62"/>
    <mergeCell ref="A63:A64"/>
    <mergeCell ref="F63:F64"/>
    <mergeCell ref="G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F61:F62"/>
    <mergeCell ref="G61:G62"/>
    <mergeCell ref="H61:H62"/>
    <mergeCell ref="I61:J62"/>
    <mergeCell ref="K61:K62"/>
    <mergeCell ref="A67:A68"/>
    <mergeCell ref="F67:F68"/>
    <mergeCell ref="G67:G68"/>
    <mergeCell ref="H67:H68"/>
    <mergeCell ref="I67:J68"/>
    <mergeCell ref="K67:K68"/>
    <mergeCell ref="L67:L68"/>
    <mergeCell ref="L65:L66"/>
    <mergeCell ref="M65:M66"/>
    <mergeCell ref="A65:A66"/>
    <mergeCell ref="F65:F66"/>
    <mergeCell ref="G65:G66"/>
    <mergeCell ref="H65:H66"/>
    <mergeCell ref="I65:J66"/>
    <mergeCell ref="K65:K66"/>
    <mergeCell ref="H69:H70"/>
    <mergeCell ref="I69:J70"/>
    <mergeCell ref="K69:K70"/>
    <mergeCell ref="L69:L70"/>
    <mergeCell ref="M69:M70"/>
    <mergeCell ref="M67:M68"/>
    <mergeCell ref="R65:R66"/>
    <mergeCell ref="S65:S66"/>
    <mergeCell ref="T65:T66"/>
    <mergeCell ref="N65:N66"/>
    <mergeCell ref="O65:O66"/>
    <mergeCell ref="P65:P66"/>
    <mergeCell ref="Q65:Q66"/>
    <mergeCell ref="S67:S68"/>
    <mergeCell ref="T67:T68"/>
    <mergeCell ref="N67:N68"/>
    <mergeCell ref="O67:O68"/>
    <mergeCell ref="P67:P68"/>
    <mergeCell ref="Q67:Q68"/>
    <mergeCell ref="R67:R68"/>
    <mergeCell ref="T69:T70"/>
    <mergeCell ref="N69:N70"/>
    <mergeCell ref="O69:O70"/>
    <mergeCell ref="P69:P70"/>
    <mergeCell ref="O71:O72"/>
    <mergeCell ref="P71:P72"/>
    <mergeCell ref="Q71:Q72"/>
    <mergeCell ref="R71:R72"/>
    <mergeCell ref="K73:K74"/>
    <mergeCell ref="S75:S76"/>
    <mergeCell ref="T75:T76"/>
    <mergeCell ref="S71:S72"/>
    <mergeCell ref="T71:T72"/>
    <mergeCell ref="T73:T74"/>
    <mergeCell ref="R75:R76"/>
    <mergeCell ref="A71:A72"/>
    <mergeCell ref="F71:F72"/>
    <mergeCell ref="G71:G72"/>
    <mergeCell ref="H71:H72"/>
    <mergeCell ref="I71:J72"/>
    <mergeCell ref="K71:K72"/>
    <mergeCell ref="L71:L72"/>
    <mergeCell ref="M71:M72"/>
    <mergeCell ref="N71:N72"/>
    <mergeCell ref="Q69:Q70"/>
    <mergeCell ref="R69:R70"/>
    <mergeCell ref="S69:S70"/>
    <mergeCell ref="A69:A70"/>
    <mergeCell ref="F69:F70"/>
    <mergeCell ref="G69:G70"/>
    <mergeCell ref="L77:L78"/>
    <mergeCell ref="M77:M78"/>
    <mergeCell ref="M75:M76"/>
    <mergeCell ref="R73:R74"/>
    <mergeCell ref="S73:S74"/>
    <mergeCell ref="A75:A76"/>
    <mergeCell ref="B75:F76"/>
    <mergeCell ref="G75:G76"/>
    <mergeCell ref="H75:H76"/>
    <mergeCell ref="I75:J76"/>
    <mergeCell ref="K75:K76"/>
    <mergeCell ref="L75:L76"/>
    <mergeCell ref="L73:L74"/>
    <mergeCell ref="M73:M74"/>
    <mergeCell ref="N73:N74"/>
    <mergeCell ref="O73:O74"/>
    <mergeCell ref="P73:P74"/>
    <mergeCell ref="Q73:Q74"/>
    <mergeCell ref="A73:A74"/>
    <mergeCell ref="B73:F74"/>
    <mergeCell ref="G73:G74"/>
    <mergeCell ref="H73:H74"/>
    <mergeCell ref="I73:J74"/>
    <mergeCell ref="N75:N76"/>
    <mergeCell ref="O75:O76"/>
    <mergeCell ref="P75:P76"/>
    <mergeCell ref="Q75:Q76"/>
    <mergeCell ref="P79:P80"/>
    <mergeCell ref="Q79:Q80"/>
    <mergeCell ref="R79:R80"/>
    <mergeCell ref="S79:S80"/>
    <mergeCell ref="T79:T80"/>
    <mergeCell ref="T77:T78"/>
    <mergeCell ref="A79:A80"/>
    <mergeCell ref="B79:F80"/>
    <mergeCell ref="G79:G80"/>
    <mergeCell ref="H79:H80"/>
    <mergeCell ref="I79:J80"/>
    <mergeCell ref="K79:K80"/>
    <mergeCell ref="L79:L80"/>
    <mergeCell ref="M79:M80"/>
    <mergeCell ref="N79:N80"/>
    <mergeCell ref="N77:N78"/>
    <mergeCell ref="O77:O78"/>
    <mergeCell ref="P77:P78"/>
    <mergeCell ref="Q77:Q78"/>
    <mergeCell ref="R77:R78"/>
    <mergeCell ref="S77:S78"/>
    <mergeCell ref="A77:A78"/>
    <mergeCell ref="B77:F78"/>
    <mergeCell ref="A81:A82"/>
    <mergeCell ref="B81:F82"/>
    <mergeCell ref="G81:G82"/>
    <mergeCell ref="H81:H82"/>
    <mergeCell ref="I81:J82"/>
    <mergeCell ref="K81:K82"/>
    <mergeCell ref="M89:O89"/>
    <mergeCell ref="M90:O90"/>
    <mergeCell ref="G77:G78"/>
    <mergeCell ref="H77:H78"/>
    <mergeCell ref="I77:J78"/>
    <mergeCell ref="K77:K78"/>
    <mergeCell ref="L81:L82"/>
    <mergeCell ref="M81:M82"/>
    <mergeCell ref="N81:N82"/>
    <mergeCell ref="O81:O82"/>
    <mergeCell ref="O79:O80"/>
    <mergeCell ref="M91:O91"/>
    <mergeCell ref="M93:O93"/>
    <mergeCell ref="R81:R82"/>
    <mergeCell ref="S81:S82"/>
    <mergeCell ref="T81:T82"/>
    <mergeCell ref="M84:O84"/>
    <mergeCell ref="M86:O86"/>
    <mergeCell ref="M87:O87"/>
    <mergeCell ref="Q87:R87"/>
    <mergeCell ref="Q81:Q82"/>
    <mergeCell ref="P81:P82"/>
    <mergeCell ref="O33:O34"/>
    <mergeCell ref="P33:P34"/>
    <mergeCell ref="Q33:Q34"/>
    <mergeCell ref="R33:R34"/>
    <mergeCell ref="S33:S34"/>
    <mergeCell ref="T33:T34"/>
    <mergeCell ref="A33:A34"/>
    <mergeCell ref="F33:F34"/>
    <mergeCell ref="G33:G34"/>
    <mergeCell ref="H33:H34"/>
    <mergeCell ref="I33:J34"/>
    <mergeCell ref="K33:K34"/>
    <mergeCell ref="L33:L34"/>
    <mergeCell ref="M33:M34"/>
    <mergeCell ref="N33:N34"/>
  </mergeCells>
  <dataValidations count="2">
    <dataValidation type="list" allowBlank="1" showInputMessage="1" showErrorMessage="1" sqref="G13">
      <formula1>#REF!</formula1>
    </dataValidation>
    <dataValidation type="list" allowBlank="1" showInputMessage="1" showErrorMessage="1" sqref="S31 S37:S76 S35 S33">
      <formula1>$A$95:$A$115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S317"/>
  <sheetViews>
    <sheetView showGridLines="0" zoomScaleNormal="100" workbookViewId="0">
      <selection sqref="A1:H1"/>
    </sheetView>
  </sheetViews>
  <sheetFormatPr defaultColWidth="8.85546875" defaultRowHeight="12.75" x14ac:dyDescent="0.2"/>
  <cols>
    <col min="1" max="1" width="45" style="2" customWidth="1"/>
    <col min="2" max="2" width="16.5703125" style="3" customWidth="1"/>
    <col min="3" max="3" width="17.42578125" style="2" customWidth="1"/>
    <col min="4" max="4" width="17.85546875" style="3" customWidth="1"/>
    <col min="5" max="5" width="17.42578125" style="2" customWidth="1"/>
    <col min="6" max="6" width="12.5703125" style="123" customWidth="1"/>
    <col min="7" max="7" width="13.42578125" style="2" customWidth="1"/>
    <col min="8" max="8" width="15.42578125" style="2" customWidth="1"/>
    <col min="9" max="9" width="17.5703125" style="2" customWidth="1"/>
    <col min="10" max="10" width="17.5703125" style="89" customWidth="1"/>
    <col min="11" max="11" width="13" style="89" customWidth="1"/>
    <col min="12" max="12" width="16" style="3" customWidth="1"/>
    <col min="13" max="13" width="15.42578125" style="89" customWidth="1"/>
    <col min="14" max="14" width="15.5703125" style="89" customWidth="1"/>
    <col min="15" max="15" width="18" style="123" customWidth="1"/>
    <col min="16" max="16" width="14.5703125" style="123" customWidth="1"/>
    <col min="17" max="17" width="17.42578125" style="3" customWidth="1"/>
    <col min="18" max="19" width="14.5703125" style="3" customWidth="1"/>
    <col min="20" max="20" width="14.5703125" style="22" customWidth="1"/>
    <col min="21" max="21" width="10.5703125" style="2" customWidth="1"/>
    <col min="22" max="32" width="9.140625" style="2" hidden="1" customWidth="1"/>
    <col min="33" max="41" width="9.140625" style="28" hidden="1" customWidth="1"/>
    <col min="42" max="42" width="14.5703125" style="28" hidden="1" customWidth="1"/>
    <col min="43" max="43" width="8.85546875" style="2" hidden="1" customWidth="1"/>
    <col min="44" max="16384" width="8.85546875" style="2"/>
  </cols>
  <sheetData>
    <row r="1" spans="1:42" ht="18.75" customHeight="1" x14ac:dyDescent="0.25">
      <c r="A1" s="313" t="s">
        <v>142</v>
      </c>
      <c r="B1" s="313"/>
      <c r="C1" s="313"/>
      <c r="D1" s="313"/>
      <c r="E1" s="313"/>
      <c r="F1" s="313"/>
      <c r="G1" s="313"/>
      <c r="H1" s="3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x14ac:dyDescent="0.25">
      <c r="A2" s="301" t="s">
        <v>151</v>
      </c>
      <c r="B2" s="149"/>
      <c r="C2" s="49"/>
      <c r="D2" s="149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">
      <c r="B3" s="2"/>
      <c r="C3" s="7"/>
      <c r="D3" s="149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229" t="s">
        <v>239</v>
      </c>
      <c r="B4" s="230"/>
      <c r="C4" s="149"/>
      <c r="D4" s="149"/>
      <c r="E4" s="49"/>
      <c r="F4" s="129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">
      <c r="A5" s="87" t="s">
        <v>31</v>
      </c>
      <c r="B5" s="305" t="s">
        <v>52</v>
      </c>
      <c r="C5" s="149"/>
      <c r="D5" s="149"/>
      <c r="E5" s="49"/>
      <c r="F5" s="129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96" t="s">
        <v>24</v>
      </c>
      <c r="B6" s="157"/>
      <c r="C6" s="149"/>
      <c r="D6" s="149"/>
      <c r="E6" s="49"/>
      <c r="F6" s="129"/>
      <c r="G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x14ac:dyDescent="0.2">
      <c r="A7" s="99" t="s">
        <v>30</v>
      </c>
      <c r="B7" s="157"/>
      <c r="C7" s="149"/>
      <c r="D7" s="149"/>
      <c r="E7" s="49"/>
      <c r="F7" s="129"/>
      <c r="G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2">
      <c r="A8" s="99" t="s">
        <v>13</v>
      </c>
      <c r="B8" s="157"/>
      <c r="C8" s="149"/>
      <c r="D8" s="149"/>
      <c r="E8" s="49"/>
      <c r="F8" s="129"/>
      <c r="G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">
      <c r="A9" s="99" t="s">
        <v>73</v>
      </c>
      <c r="B9" s="157"/>
      <c r="C9" s="149"/>
      <c r="D9" s="149"/>
      <c r="E9" s="49"/>
      <c r="F9" s="129"/>
      <c r="G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">
      <c r="A10" s="99" t="s">
        <v>62</v>
      </c>
      <c r="B10" s="137">
        <f>SUM(B6:B8)+B9</f>
        <v>0</v>
      </c>
      <c r="C10" s="149"/>
      <c r="D10" s="149"/>
      <c r="E10" s="49"/>
      <c r="F10" s="129"/>
      <c r="G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2">
      <c r="B11" s="2"/>
      <c r="C11" s="7"/>
      <c r="D11" s="149"/>
      <c r="E11" s="49"/>
      <c r="F11" s="129"/>
      <c r="G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38.25" x14ac:dyDescent="0.2">
      <c r="A12" s="229" t="s">
        <v>240</v>
      </c>
      <c r="B12" s="230" t="s">
        <v>85</v>
      </c>
      <c r="C12" s="231" t="s">
        <v>86</v>
      </c>
      <c r="D12" s="149"/>
      <c r="F12" s="232" t="s">
        <v>85</v>
      </c>
      <c r="G12" s="233" t="s">
        <v>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87" t="s">
        <v>31</v>
      </c>
      <c r="B13" s="305" t="s">
        <v>52</v>
      </c>
      <c r="C13" s="305" t="s">
        <v>52</v>
      </c>
      <c r="D13" s="149"/>
      <c r="E13" s="7" t="s">
        <v>14</v>
      </c>
      <c r="F13" s="50"/>
      <c r="G13" s="1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6" t="s">
        <v>24</v>
      </c>
      <c r="B14" s="157"/>
      <c r="C14" s="157"/>
      <c r="D14" s="149"/>
      <c r="E14" s="120" t="s">
        <v>22</v>
      </c>
      <c r="F14" s="100">
        <f>IFERROR(B14/B19,0)</f>
        <v>0</v>
      </c>
      <c r="G14" s="100">
        <f>IFERROR(C14/C19,0)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9" t="s">
        <v>30</v>
      </c>
      <c r="B15" s="157"/>
      <c r="C15" s="157"/>
      <c r="D15" s="149"/>
      <c r="E15" s="191" t="s">
        <v>95</v>
      </c>
      <c r="F15" s="100">
        <f>IFERROR(B15/B19,0)</f>
        <v>0</v>
      </c>
      <c r="G15" s="100">
        <f>IFERROR(C15/C19,0)</f>
        <v>0</v>
      </c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9" t="s">
        <v>13</v>
      </c>
      <c r="B16" s="157"/>
      <c r="C16" s="157"/>
      <c r="D16" s="149"/>
      <c r="E16" s="120" t="s">
        <v>23</v>
      </c>
      <c r="F16" s="100">
        <f>IFERROR((B16+B18)/B19,0)</f>
        <v>0</v>
      </c>
      <c r="G16" s="100">
        <f>IFERROR((C16+C18)/C19,0)</f>
        <v>0</v>
      </c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5" x14ac:dyDescent="0.2">
      <c r="A17" s="212" t="s">
        <v>112</v>
      </c>
      <c r="B17" s="157"/>
      <c r="C17" s="157"/>
      <c r="D17" s="149"/>
      <c r="E17" s="117" t="s">
        <v>15</v>
      </c>
      <c r="F17" s="101">
        <f>B23*F14+B24*F15+B25*F16</f>
        <v>0</v>
      </c>
      <c r="G17" s="101">
        <f>B23*G14+B24*G15+B25*G16</f>
        <v>0</v>
      </c>
      <c r="H17" s="4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5" x14ac:dyDescent="0.2">
      <c r="A18" s="99" t="s">
        <v>73</v>
      </c>
      <c r="B18" s="157"/>
      <c r="C18" s="157"/>
      <c r="D18" s="149"/>
      <c r="E18" s="83"/>
      <c r="F18" s="72"/>
      <c r="H18" s="4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5" x14ac:dyDescent="0.2">
      <c r="A19" s="99" t="s">
        <v>62</v>
      </c>
      <c r="B19" s="137">
        <f>SUM(B14:B16)+B18</f>
        <v>0</v>
      </c>
      <c r="C19" s="137">
        <f>SUM(C14:C16)+C18</f>
        <v>0</v>
      </c>
      <c r="D19" s="149"/>
      <c r="F19" s="2"/>
      <c r="H19" s="4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5" x14ac:dyDescent="0.2">
      <c r="C20"/>
      <c r="D20" s="401" t="s">
        <v>47</v>
      </c>
      <c r="E20" s="401"/>
      <c r="F20" s="401"/>
      <c r="G20" s="67">
        <f>'Site Data'!$E$34/12*B19*F17+'Site Data'!$F$34/12*C19*G17</f>
        <v>0</v>
      </c>
      <c r="H20" s="4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306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5" x14ac:dyDescent="0.2">
      <c r="A21" s="256" t="s">
        <v>12</v>
      </c>
      <c r="B21" s="14"/>
      <c r="C21"/>
      <c r="D21" s="401" t="s">
        <v>74</v>
      </c>
      <c r="E21" s="401"/>
      <c r="F21" s="401"/>
      <c r="G21" s="67">
        <f>G20*7.48</f>
        <v>0</v>
      </c>
      <c r="H21" s="4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306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5" x14ac:dyDescent="0.2">
      <c r="A22" s="259" t="s">
        <v>10</v>
      </c>
      <c r="B22" s="305" t="s">
        <v>20</v>
      </c>
      <c r="C22"/>
      <c r="D22" s="401" t="s">
        <v>114</v>
      </c>
      <c r="E22" s="401"/>
      <c r="F22" s="401"/>
      <c r="G22" s="67">
        <f>'Site Data'!$E$34/24*B25*(B17+C17)</f>
        <v>0</v>
      </c>
      <c r="H22" s="4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5" x14ac:dyDescent="0.2">
      <c r="A23" s="175" t="s">
        <v>24</v>
      </c>
      <c r="B23" s="71">
        <v>0</v>
      </c>
      <c r="C23"/>
      <c r="D23" s="149"/>
      <c r="H23" s="4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5" x14ac:dyDescent="0.2">
      <c r="A24" s="46" t="s">
        <v>30</v>
      </c>
      <c r="B24" s="71">
        <v>0.25</v>
      </c>
      <c r="C24"/>
      <c r="D24" s="174" t="s">
        <v>83</v>
      </c>
      <c r="F24" s="129"/>
      <c r="G24" s="49"/>
      <c r="H24" s="4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5" x14ac:dyDescent="0.2">
      <c r="A25" s="46" t="s">
        <v>13</v>
      </c>
      <c r="B25" s="71">
        <v>0.95</v>
      </c>
      <c r="C25"/>
      <c r="D25" s="401" t="s">
        <v>91</v>
      </c>
      <c r="E25" s="401"/>
      <c r="F25" s="401"/>
      <c r="G25" s="67" t="str">
        <f>IF('Site Data'!E13="Yes",1.7/12*(F17*B19+G17*C19)-G20,"NA")</f>
        <v>NA</v>
      </c>
      <c r="H25" s="49"/>
    </row>
    <row r="26" spans="1:45" x14ac:dyDescent="0.2">
      <c r="B26" s="2"/>
      <c r="C26"/>
      <c r="D26" s="401" t="s">
        <v>93</v>
      </c>
      <c r="E26" s="401"/>
      <c r="F26" s="401"/>
      <c r="G26" s="67" t="str">
        <f>IF(G25="NA","NA",G25*7.48)</f>
        <v>NA</v>
      </c>
      <c r="H26" s="49"/>
      <c r="J26" s="2"/>
      <c r="K26" s="2"/>
    </row>
    <row r="27" spans="1:45" s="14" customFormat="1" x14ac:dyDescent="0.2">
      <c r="A27" s="9" t="s">
        <v>230</v>
      </c>
      <c r="B27" s="48"/>
      <c r="D27" s="48"/>
      <c r="F27" s="130"/>
      <c r="L27" s="48"/>
      <c r="M27" s="106"/>
      <c r="N27" s="106"/>
      <c r="O27" s="106"/>
      <c r="P27" s="106"/>
      <c r="Q27" s="49"/>
      <c r="R27" s="47"/>
      <c r="S27" s="47"/>
      <c r="U27" s="135"/>
      <c r="V27" s="135"/>
      <c r="W27" s="135"/>
      <c r="X27" s="135"/>
      <c r="Y27" s="135"/>
      <c r="Z27" s="135"/>
      <c r="AA27" s="135"/>
      <c r="AB27" s="135"/>
      <c r="AC27" s="33"/>
      <c r="AD27" s="33"/>
      <c r="AE27" s="33"/>
      <c r="AF27" s="33"/>
      <c r="AG27" s="33"/>
      <c r="AH27" s="33"/>
      <c r="AI27" s="33"/>
      <c r="AJ27" s="50"/>
      <c r="AK27" s="50"/>
      <c r="AL27" s="50"/>
      <c r="AM27" s="50"/>
      <c r="AN27" s="50"/>
      <c r="AO27" s="50"/>
      <c r="AP27" s="50"/>
    </row>
    <row r="28" spans="1:45" s="14" customFormat="1" ht="18.75" thickBot="1" x14ac:dyDescent="0.3">
      <c r="A28" s="12" t="s">
        <v>71</v>
      </c>
      <c r="B28" s="48"/>
      <c r="D28" s="48"/>
      <c r="F28" s="130"/>
      <c r="I28" s="16"/>
      <c r="J28" s="124"/>
      <c r="K28" s="106"/>
      <c r="L28" s="48"/>
      <c r="M28" s="106"/>
      <c r="N28" s="106"/>
      <c r="O28" s="106"/>
      <c r="P28" s="106"/>
      <c r="Q28" s="49"/>
      <c r="R28" s="47"/>
      <c r="S28" s="47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5" s="145" customFormat="1" ht="25.5" customHeight="1" x14ac:dyDescent="0.2">
      <c r="A29" s="391"/>
      <c r="B29" s="343" t="s">
        <v>140</v>
      </c>
      <c r="C29" s="345"/>
      <c r="D29" s="343" t="s">
        <v>138</v>
      </c>
      <c r="E29" s="345"/>
      <c r="F29" s="393" t="s">
        <v>139</v>
      </c>
      <c r="G29" s="394"/>
      <c r="H29" s="395" t="s">
        <v>127</v>
      </c>
      <c r="I29" s="397" t="s">
        <v>75</v>
      </c>
      <c r="J29" s="398"/>
      <c r="K29" s="383" t="s">
        <v>76</v>
      </c>
      <c r="L29" s="385" t="s">
        <v>128</v>
      </c>
      <c r="M29" s="387" t="s">
        <v>129</v>
      </c>
      <c r="N29" s="389" t="s">
        <v>130</v>
      </c>
      <c r="O29" s="385" t="s">
        <v>131</v>
      </c>
      <c r="P29" s="385" t="s">
        <v>119</v>
      </c>
      <c r="Q29" s="387" t="s">
        <v>120</v>
      </c>
      <c r="R29" s="387" t="s">
        <v>121</v>
      </c>
      <c r="S29" s="402" t="s">
        <v>126</v>
      </c>
      <c r="T29" s="381" t="s">
        <v>115</v>
      </c>
      <c r="U29" s="144"/>
      <c r="V29" s="160"/>
      <c r="W29" s="145" t="s">
        <v>25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</row>
    <row r="30" spans="1:45" s="145" customFormat="1" ht="55.5" customHeight="1" thickBot="1" x14ac:dyDescent="0.25">
      <c r="A30" s="392"/>
      <c r="B30" s="272" t="s">
        <v>54</v>
      </c>
      <c r="C30" s="275" t="s">
        <v>117</v>
      </c>
      <c r="D30" s="272" t="s">
        <v>54</v>
      </c>
      <c r="E30" s="304" t="s">
        <v>117</v>
      </c>
      <c r="F30" s="147" t="s">
        <v>117</v>
      </c>
      <c r="G30" s="147" t="s">
        <v>118</v>
      </c>
      <c r="H30" s="396"/>
      <c r="I30" s="399"/>
      <c r="J30" s="400"/>
      <c r="K30" s="384"/>
      <c r="L30" s="386"/>
      <c r="M30" s="388"/>
      <c r="N30" s="390"/>
      <c r="O30" s="386"/>
      <c r="P30" s="386"/>
      <c r="Q30" s="388"/>
      <c r="R30" s="388"/>
      <c r="S30" s="403"/>
      <c r="T30" s="382"/>
      <c r="U30" s="148"/>
      <c r="V30" s="161"/>
      <c r="W30" s="209" t="s">
        <v>254</v>
      </c>
      <c r="X30" s="209" t="s">
        <v>255</v>
      </c>
      <c r="Y30" s="163" t="s">
        <v>44</v>
      </c>
      <c r="Z30" s="209" t="s">
        <v>192</v>
      </c>
      <c r="AA30" s="209" t="s">
        <v>193</v>
      </c>
      <c r="AB30" s="163" t="s">
        <v>36</v>
      </c>
      <c r="AC30" s="163" t="s">
        <v>37</v>
      </c>
      <c r="AD30" s="209" t="s">
        <v>105</v>
      </c>
      <c r="AE30" s="208" t="s">
        <v>104</v>
      </c>
      <c r="AF30" s="75" t="s">
        <v>50</v>
      </c>
      <c r="AG30" s="75" t="s">
        <v>51</v>
      </c>
      <c r="AH30" s="75" t="s">
        <v>102</v>
      </c>
      <c r="AI30" s="75" t="s">
        <v>39</v>
      </c>
      <c r="AJ30" s="75" t="s">
        <v>60</v>
      </c>
      <c r="AK30" s="75" t="s">
        <v>58</v>
      </c>
      <c r="AL30" s="75" t="s">
        <v>59</v>
      </c>
      <c r="AM30" s="75" t="s">
        <v>56</v>
      </c>
      <c r="AN30" s="75" t="s">
        <v>57</v>
      </c>
      <c r="AO30" s="75" t="s">
        <v>40</v>
      </c>
      <c r="AP30" s="75" t="s">
        <v>45</v>
      </c>
      <c r="AQ30" s="75" t="s">
        <v>46</v>
      </c>
      <c r="AR30" s="307"/>
      <c r="AS30" s="307"/>
    </row>
    <row r="31" spans="1:45" ht="19.5" customHeight="1" x14ac:dyDescent="0.2">
      <c r="A31" s="341" t="str">
        <f>A95</f>
        <v>G1-2 Unirrigated Green Roofs</v>
      </c>
      <c r="B31" s="273" t="s">
        <v>24</v>
      </c>
      <c r="C31" s="279"/>
      <c r="D31" s="285" t="s">
        <v>13</v>
      </c>
      <c r="E31" s="277"/>
      <c r="F31" s="362"/>
      <c r="G31" s="360">
        <f>'Site Data'!$E$34/12*$B$25*F31*0.5</f>
        <v>0</v>
      </c>
      <c r="H31" s="378">
        <f>1.7/12*('Site Data'!$I$39*C31+'Site Data'!$I$40*C32+'Site Data'!$I$41*SUM(E31:E32))</f>
        <v>0</v>
      </c>
      <c r="I31" s="379" t="s">
        <v>32</v>
      </c>
      <c r="J31" s="380"/>
      <c r="K31" s="375">
        <v>1</v>
      </c>
      <c r="L31" s="376">
        <f>W85</f>
        <v>0</v>
      </c>
      <c r="M31" s="376">
        <f>H31+L31</f>
        <v>0</v>
      </c>
      <c r="N31" s="377" t="s">
        <v>11</v>
      </c>
      <c r="O31" s="373"/>
      <c r="P31" s="374">
        <f>IF(O31*K31&lt;=M31,O31*K31,M31)</f>
        <v>0</v>
      </c>
      <c r="Q31" s="376">
        <f>M31-P31</f>
        <v>0</v>
      </c>
      <c r="R31" s="377" t="s">
        <v>11</v>
      </c>
      <c r="S31" s="366"/>
      <c r="T31" s="330" t="str">
        <f>IF('Site Data'!$E$14="MS4",IF(F31&gt;0,IF(P31+IF(R31="N/A",0,R31)+IF(S31&lt;&gt;0,VLOOKUP(S31,$A$95:$B$120,2,FALSE),0)&gt;=G31,"Yes","No"),"N/A"),"N/A")</f>
        <v>N/A</v>
      </c>
      <c r="U31" s="3"/>
      <c r="V31" s="22"/>
      <c r="W31" s="180">
        <f t="shared" ref="W31:AQ45" si="0">IF($S31=W$30,$Q31,0)</f>
        <v>0</v>
      </c>
      <c r="X31" s="180">
        <f t="shared" si="0"/>
        <v>0</v>
      </c>
      <c r="Y31" s="180">
        <f t="shared" si="0"/>
        <v>0</v>
      </c>
      <c r="Z31" s="180">
        <f t="shared" si="0"/>
        <v>0</v>
      </c>
      <c r="AA31" s="180">
        <f t="shared" si="0"/>
        <v>0</v>
      </c>
      <c r="AB31" s="180">
        <f t="shared" si="0"/>
        <v>0</v>
      </c>
      <c r="AC31" s="180">
        <f t="shared" si="0"/>
        <v>0</v>
      </c>
      <c r="AD31" s="180">
        <f t="shared" si="0"/>
        <v>0</v>
      </c>
      <c r="AE31" s="180">
        <f t="shared" si="0"/>
        <v>0</v>
      </c>
      <c r="AF31" s="180">
        <f t="shared" si="0"/>
        <v>0</v>
      </c>
      <c r="AG31" s="180">
        <f t="shared" si="0"/>
        <v>0</v>
      </c>
      <c r="AH31" s="180">
        <f t="shared" si="0"/>
        <v>0</v>
      </c>
      <c r="AI31" s="180">
        <f t="shared" si="0"/>
        <v>0</v>
      </c>
      <c r="AJ31" s="180">
        <f t="shared" si="0"/>
        <v>0</v>
      </c>
      <c r="AK31" s="180">
        <f t="shared" si="0"/>
        <v>0</v>
      </c>
      <c r="AL31" s="180">
        <f t="shared" si="0"/>
        <v>0</v>
      </c>
      <c r="AM31" s="180">
        <f t="shared" si="0"/>
        <v>0</v>
      </c>
      <c r="AN31" s="180">
        <f t="shared" si="0"/>
        <v>0</v>
      </c>
      <c r="AO31" s="180">
        <f t="shared" si="0"/>
        <v>0</v>
      </c>
      <c r="AP31" s="180">
        <f t="shared" si="0"/>
        <v>0</v>
      </c>
      <c r="AQ31" s="180">
        <f t="shared" si="0"/>
        <v>0</v>
      </c>
      <c r="AR31" s="28"/>
    </row>
    <row r="32" spans="1:45" ht="19.5" customHeight="1" thickBot="1" x14ac:dyDescent="0.25">
      <c r="A32" s="342"/>
      <c r="B32" s="274" t="s">
        <v>30</v>
      </c>
      <c r="C32" s="279"/>
      <c r="D32" s="286" t="s">
        <v>73</v>
      </c>
      <c r="E32" s="278"/>
      <c r="F32" s="363"/>
      <c r="G32" s="361"/>
      <c r="H32" s="352"/>
      <c r="I32" s="355"/>
      <c r="J32" s="356"/>
      <c r="K32" s="358"/>
      <c r="L32" s="334"/>
      <c r="M32" s="334"/>
      <c r="N32" s="329"/>
      <c r="O32" s="368"/>
      <c r="P32" s="336"/>
      <c r="Q32" s="334"/>
      <c r="R32" s="329"/>
      <c r="S32" s="365"/>
      <c r="T32" s="331"/>
      <c r="U32" s="3"/>
      <c r="V32" s="22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28"/>
    </row>
    <row r="33" spans="1:44" ht="19.5" customHeight="1" x14ac:dyDescent="0.2">
      <c r="A33" s="341" t="str">
        <f>A96</f>
        <v>G-2 Irrigated Green Roofs</v>
      </c>
      <c r="B33" s="273" t="s">
        <v>24</v>
      </c>
      <c r="C33" s="279"/>
      <c r="D33" s="285" t="s">
        <v>13</v>
      </c>
      <c r="E33" s="277"/>
      <c r="F33" s="362"/>
      <c r="G33" s="360">
        <f>'Site Data'!$E$34/12*$B$25*F33*0.5</f>
        <v>0</v>
      </c>
      <c r="H33" s="378">
        <f>1.7/12*('Site Data'!$I$39*C33+'Site Data'!$I$40*C34+'Site Data'!$I$41*SUM(E33:E34))</f>
        <v>0</v>
      </c>
      <c r="I33" s="379" t="s">
        <v>256</v>
      </c>
      <c r="J33" s="380"/>
      <c r="K33" s="375">
        <v>0.5</v>
      </c>
      <c r="L33" s="376">
        <f>X85</f>
        <v>0</v>
      </c>
      <c r="M33" s="376">
        <f>H33+L33</f>
        <v>0</v>
      </c>
      <c r="N33" s="377" t="s">
        <v>11</v>
      </c>
      <c r="O33" s="373"/>
      <c r="P33" s="374">
        <f>IF(O33*K33&lt;=M33,O33*K33,M33)</f>
        <v>0</v>
      </c>
      <c r="Q33" s="376">
        <f>M33-P33</f>
        <v>0</v>
      </c>
      <c r="R33" s="328">
        <f>IF(O33&lt;=0,0,MIN(O33,H33+L33)-P33)</f>
        <v>0</v>
      </c>
      <c r="S33" s="366"/>
      <c r="T33" s="330" t="str">
        <f>IF('Site Data'!$E$14="MS4",IF(F33&gt;0,IF(P33+IF(R33="N/A",0,R33)+IF(S33&lt;&gt;0,VLOOKUP(S33,$A$95:$B$120,2,FALSE),0)&gt;=G33,"Yes","No"),"N/A"),"N/A")</f>
        <v>N/A</v>
      </c>
      <c r="U33" s="3"/>
      <c r="V33" s="22"/>
      <c r="W33" s="180">
        <f>IF($S33=W$30,$Q33,0)</f>
        <v>0</v>
      </c>
      <c r="X33" s="180">
        <f t="shared" si="0"/>
        <v>0</v>
      </c>
      <c r="Y33" s="180">
        <f>IF($S33=Y$30,$Q33,0)</f>
        <v>0</v>
      </c>
      <c r="Z33" s="180">
        <f t="shared" si="0"/>
        <v>0</v>
      </c>
      <c r="AA33" s="180">
        <f t="shared" si="0"/>
        <v>0</v>
      </c>
      <c r="AB33" s="180">
        <f t="shared" si="0"/>
        <v>0</v>
      </c>
      <c r="AC33" s="180">
        <f t="shared" si="0"/>
        <v>0</v>
      </c>
      <c r="AD33" s="180">
        <f t="shared" si="0"/>
        <v>0</v>
      </c>
      <c r="AE33" s="180">
        <f t="shared" si="0"/>
        <v>0</v>
      </c>
      <c r="AF33" s="180">
        <f t="shared" si="0"/>
        <v>0</v>
      </c>
      <c r="AG33" s="180">
        <f t="shared" si="0"/>
        <v>0</v>
      </c>
      <c r="AH33" s="180">
        <f t="shared" si="0"/>
        <v>0</v>
      </c>
      <c r="AI33" s="180">
        <f t="shared" si="0"/>
        <v>0</v>
      </c>
      <c r="AJ33" s="180">
        <f t="shared" si="0"/>
        <v>0</v>
      </c>
      <c r="AK33" s="180">
        <f t="shared" si="0"/>
        <v>0</v>
      </c>
      <c r="AL33" s="180">
        <f t="shared" si="0"/>
        <v>0</v>
      </c>
      <c r="AM33" s="180">
        <f t="shared" si="0"/>
        <v>0</v>
      </c>
      <c r="AN33" s="180">
        <f t="shared" si="0"/>
        <v>0</v>
      </c>
      <c r="AO33" s="180">
        <f t="shared" si="0"/>
        <v>0</v>
      </c>
      <c r="AP33" s="180">
        <f t="shared" si="0"/>
        <v>0</v>
      </c>
      <c r="AQ33" s="180">
        <f t="shared" si="0"/>
        <v>0</v>
      </c>
      <c r="AR33" s="28"/>
    </row>
    <row r="34" spans="1:44" ht="19.5" customHeight="1" thickBot="1" x14ac:dyDescent="0.25">
      <c r="A34" s="342"/>
      <c r="B34" s="274" t="s">
        <v>30</v>
      </c>
      <c r="C34" s="279"/>
      <c r="D34" s="286" t="s">
        <v>73</v>
      </c>
      <c r="E34" s="278"/>
      <c r="F34" s="363"/>
      <c r="G34" s="361"/>
      <c r="H34" s="352"/>
      <c r="I34" s="355"/>
      <c r="J34" s="356"/>
      <c r="K34" s="358"/>
      <c r="L34" s="334"/>
      <c r="M34" s="334"/>
      <c r="N34" s="329"/>
      <c r="O34" s="368"/>
      <c r="P34" s="336"/>
      <c r="Q34" s="334"/>
      <c r="R34" s="329"/>
      <c r="S34" s="365"/>
      <c r="T34" s="331"/>
      <c r="U34" s="3"/>
      <c r="V34" s="22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28"/>
    </row>
    <row r="35" spans="1:44" ht="19.5" customHeight="1" x14ac:dyDescent="0.2">
      <c r="A35" s="341" t="str">
        <f>A97</f>
        <v>R1 Rainwater Harvesting</v>
      </c>
      <c r="B35" s="273" t="s">
        <v>24</v>
      </c>
      <c r="C35" s="280"/>
      <c r="D35" s="285" t="s">
        <v>13</v>
      </c>
      <c r="E35" s="277"/>
      <c r="F35" s="362"/>
      <c r="G35" s="360">
        <f>'Site Data'!$E$34/12*$B$25*F35*0.5</f>
        <v>0</v>
      </c>
      <c r="H35" s="351">
        <f>1.7/12*('Site Data'!$I$39*C35+'Site Data'!$I$40*C36+'Site Data'!$I$41*SUM(E35:E36))</f>
        <v>0</v>
      </c>
      <c r="I35" s="353" t="s">
        <v>145</v>
      </c>
      <c r="J35" s="354"/>
      <c r="K35" s="375">
        <v>1</v>
      </c>
      <c r="L35" s="333">
        <f>Y85</f>
        <v>0</v>
      </c>
      <c r="M35" s="333">
        <f>H35+L35</f>
        <v>0</v>
      </c>
      <c r="N35" s="328" t="s">
        <v>11</v>
      </c>
      <c r="O35" s="373"/>
      <c r="P35" s="374">
        <f>IF(O35*K35&lt;=M35,O35*K35,M35)</f>
        <v>0</v>
      </c>
      <c r="Q35" s="333">
        <f>M35-P35</f>
        <v>0</v>
      </c>
      <c r="R35" s="328" t="s">
        <v>11</v>
      </c>
      <c r="S35" s="364"/>
      <c r="T35" s="330" t="str">
        <f>IF('Site Data'!$E$14="MS4",IF(F35&gt;0,IF(P35+IF(R35="N/A",0,R35)+IF(S35&lt;&gt;0,VLOOKUP(S35,$A$95:$B$120,2,FALSE),0)&gt;=G35,"Yes","No"),"N/A"),"N/A")</f>
        <v>N/A</v>
      </c>
      <c r="U35" s="3"/>
      <c r="V35" s="22"/>
      <c r="W35" s="180">
        <f t="shared" ref="W35:AQ35" si="1">IF($S35=W$30,$Q35,0)</f>
        <v>0</v>
      </c>
      <c r="X35" s="180">
        <f t="shared" si="0"/>
        <v>0</v>
      </c>
      <c r="Y35" s="180">
        <f t="shared" si="1"/>
        <v>0</v>
      </c>
      <c r="Z35" s="180">
        <f t="shared" si="1"/>
        <v>0</v>
      </c>
      <c r="AA35" s="180">
        <f t="shared" si="0"/>
        <v>0</v>
      </c>
      <c r="AB35" s="180">
        <f t="shared" si="1"/>
        <v>0</v>
      </c>
      <c r="AC35" s="180">
        <f t="shared" si="1"/>
        <v>0</v>
      </c>
      <c r="AD35" s="180">
        <f t="shared" si="1"/>
        <v>0</v>
      </c>
      <c r="AE35" s="180">
        <f t="shared" si="1"/>
        <v>0</v>
      </c>
      <c r="AF35" s="180">
        <f t="shared" si="1"/>
        <v>0</v>
      </c>
      <c r="AG35" s="180">
        <f t="shared" si="1"/>
        <v>0</v>
      </c>
      <c r="AH35" s="180">
        <f t="shared" si="1"/>
        <v>0</v>
      </c>
      <c r="AI35" s="180">
        <f t="shared" si="1"/>
        <v>0</v>
      </c>
      <c r="AJ35" s="180">
        <f t="shared" si="1"/>
        <v>0</v>
      </c>
      <c r="AK35" s="180">
        <f t="shared" si="1"/>
        <v>0</v>
      </c>
      <c r="AL35" s="180">
        <f t="shared" si="1"/>
        <v>0</v>
      </c>
      <c r="AM35" s="180">
        <f t="shared" si="1"/>
        <v>0</v>
      </c>
      <c r="AN35" s="180">
        <f t="shared" si="1"/>
        <v>0</v>
      </c>
      <c r="AO35" s="180">
        <f t="shared" si="1"/>
        <v>0</v>
      </c>
      <c r="AP35" s="180">
        <f t="shared" si="1"/>
        <v>0</v>
      </c>
      <c r="AQ35" s="180">
        <f t="shared" si="1"/>
        <v>0</v>
      </c>
    </row>
    <row r="36" spans="1:44" ht="19.5" customHeight="1" thickBot="1" x14ac:dyDescent="0.25">
      <c r="A36" s="342"/>
      <c r="B36" s="274" t="s">
        <v>30</v>
      </c>
      <c r="C36" s="281"/>
      <c r="D36" s="286" t="s">
        <v>73</v>
      </c>
      <c r="E36" s="278"/>
      <c r="F36" s="363"/>
      <c r="G36" s="361"/>
      <c r="H36" s="352"/>
      <c r="I36" s="355"/>
      <c r="J36" s="356"/>
      <c r="K36" s="358"/>
      <c r="L36" s="334"/>
      <c r="M36" s="334"/>
      <c r="N36" s="329"/>
      <c r="O36" s="368"/>
      <c r="P36" s="336"/>
      <c r="Q36" s="334"/>
      <c r="R36" s="329"/>
      <c r="S36" s="365"/>
      <c r="T36" s="331"/>
      <c r="U36" s="3"/>
      <c r="V36" s="22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</row>
    <row r="37" spans="1:44" ht="19.5" customHeight="1" x14ac:dyDescent="0.2">
      <c r="A37" s="341" t="str">
        <f>A98</f>
        <v>D1 (A/B) Simple Disconnection to a Pervious Area</v>
      </c>
      <c r="B37" s="273" t="s">
        <v>24</v>
      </c>
      <c r="C37" s="280"/>
      <c r="D37" s="285" t="s">
        <v>13</v>
      </c>
      <c r="E37" s="277"/>
      <c r="F37" s="362"/>
      <c r="G37" s="360">
        <f>'Site Data'!$E$34/12*$B$25*F37*0.5</f>
        <v>0</v>
      </c>
      <c r="H37" s="351">
        <f>1.7/12*('Site Data'!$I$39*C37+'Site Data'!$I$40*C38+'Site Data'!$I$41*SUM(E37:E38))</f>
        <v>0</v>
      </c>
      <c r="I37" s="359" t="s">
        <v>194</v>
      </c>
      <c r="J37" s="354"/>
      <c r="K37" s="357" t="s">
        <v>11</v>
      </c>
      <c r="L37" s="333">
        <f>Z85</f>
        <v>0</v>
      </c>
      <c r="M37" s="333">
        <f>H37+L37</f>
        <v>0</v>
      </c>
      <c r="N37" s="367"/>
      <c r="O37" s="328" t="s">
        <v>11</v>
      </c>
      <c r="P37" s="335">
        <f>IF(N37*0.04&lt;=M37,N37*0.04,M37)</f>
        <v>0</v>
      </c>
      <c r="Q37" s="333">
        <f>M37-P37</f>
        <v>0</v>
      </c>
      <c r="R37" s="328" t="s">
        <v>11</v>
      </c>
      <c r="S37" s="364"/>
      <c r="T37" s="330" t="str">
        <f>IF('Site Data'!$E$14="MS4",IF(F37&gt;0,IF(P37+IF(R37="N/A",0,R37)+IF(S37&lt;&gt;0,VLOOKUP(S37,$A$95:$B$120,2,FALSE),0)&gt;=G37,"Yes","No"),"N/A"),"N/A")</f>
        <v>N/A</v>
      </c>
      <c r="U37" s="3"/>
      <c r="V37" s="22"/>
      <c r="W37" s="180">
        <f t="shared" ref="W37:AQ37" si="2">IF($S37=W$30,$Q37,0)</f>
        <v>0</v>
      </c>
      <c r="X37" s="180">
        <f t="shared" si="0"/>
        <v>0</v>
      </c>
      <c r="Y37" s="180">
        <f t="shared" si="2"/>
        <v>0</v>
      </c>
      <c r="Z37" s="180">
        <f t="shared" si="2"/>
        <v>0</v>
      </c>
      <c r="AA37" s="180">
        <f t="shared" si="0"/>
        <v>0</v>
      </c>
      <c r="AB37" s="180">
        <f t="shared" si="2"/>
        <v>0</v>
      </c>
      <c r="AC37" s="180">
        <f t="shared" si="2"/>
        <v>0</v>
      </c>
      <c r="AD37" s="180">
        <f t="shared" si="2"/>
        <v>0</v>
      </c>
      <c r="AE37" s="180">
        <f t="shared" si="2"/>
        <v>0</v>
      </c>
      <c r="AF37" s="180">
        <f t="shared" si="2"/>
        <v>0</v>
      </c>
      <c r="AG37" s="180">
        <f t="shared" si="2"/>
        <v>0</v>
      </c>
      <c r="AH37" s="180">
        <f t="shared" si="2"/>
        <v>0</v>
      </c>
      <c r="AI37" s="180">
        <f t="shared" si="2"/>
        <v>0</v>
      </c>
      <c r="AJ37" s="180">
        <f t="shared" si="2"/>
        <v>0</v>
      </c>
      <c r="AK37" s="180">
        <f t="shared" si="2"/>
        <v>0</v>
      </c>
      <c r="AL37" s="180">
        <f t="shared" si="2"/>
        <v>0</v>
      </c>
      <c r="AM37" s="180">
        <f t="shared" si="2"/>
        <v>0</v>
      </c>
      <c r="AN37" s="180">
        <f t="shared" si="2"/>
        <v>0</v>
      </c>
      <c r="AO37" s="180">
        <f t="shared" si="2"/>
        <v>0</v>
      </c>
      <c r="AP37" s="180">
        <f t="shared" si="2"/>
        <v>0</v>
      </c>
      <c r="AQ37" s="180">
        <f t="shared" si="2"/>
        <v>0</v>
      </c>
    </row>
    <row r="38" spans="1:44" ht="19.5" customHeight="1" thickBot="1" x14ac:dyDescent="0.25">
      <c r="A38" s="342"/>
      <c r="B38" s="274" t="s">
        <v>30</v>
      </c>
      <c r="C38" s="281"/>
      <c r="D38" s="286" t="s">
        <v>73</v>
      </c>
      <c r="E38" s="278"/>
      <c r="F38" s="363"/>
      <c r="G38" s="361"/>
      <c r="H38" s="352"/>
      <c r="I38" s="355"/>
      <c r="J38" s="356"/>
      <c r="K38" s="358"/>
      <c r="L38" s="334"/>
      <c r="M38" s="334"/>
      <c r="N38" s="368"/>
      <c r="O38" s="329"/>
      <c r="P38" s="336"/>
      <c r="Q38" s="334"/>
      <c r="R38" s="329"/>
      <c r="S38" s="365"/>
      <c r="T38" s="331"/>
      <c r="U38" s="3"/>
      <c r="V38" s="22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44" ht="19.5" customHeight="1" x14ac:dyDescent="0.2">
      <c r="A39" s="341" t="str">
        <f>A99</f>
        <v>D1 (C/D) Simple Disconnection to a Pervious Area</v>
      </c>
      <c r="B39" s="273" t="s">
        <v>24</v>
      </c>
      <c r="C39" s="280"/>
      <c r="D39" s="285" t="s">
        <v>13</v>
      </c>
      <c r="E39" s="277"/>
      <c r="F39" s="362"/>
      <c r="G39" s="360">
        <f>'Site Data'!$E$34/12*$B$25*F39*0.5</f>
        <v>0</v>
      </c>
      <c r="H39" s="351">
        <f>1.7/12*('Site Data'!$I$39*C39+'Site Data'!$I$40*C40+'Site Data'!$I$41*SUM(E39:E40))</f>
        <v>0</v>
      </c>
      <c r="I39" s="353" t="s">
        <v>33</v>
      </c>
      <c r="J39" s="354"/>
      <c r="K39" s="357" t="s">
        <v>11</v>
      </c>
      <c r="L39" s="333">
        <f>AA85</f>
        <v>0</v>
      </c>
      <c r="M39" s="333">
        <f>H39+L39</f>
        <v>0</v>
      </c>
      <c r="N39" s="367"/>
      <c r="O39" s="328" t="s">
        <v>11</v>
      </c>
      <c r="P39" s="335">
        <f>IF(N39*0.02&lt;=M39,N39*0.02,M39)</f>
        <v>0</v>
      </c>
      <c r="Q39" s="333">
        <f>M39-P39</f>
        <v>0</v>
      </c>
      <c r="R39" s="328" t="s">
        <v>11</v>
      </c>
      <c r="S39" s="364"/>
      <c r="T39" s="330" t="str">
        <f>IF('Site Data'!$E$14="MS4",IF(F39&gt;0,IF(P39+IF(R39="N/A",0,R39)+IF(S39&lt;&gt;0,VLOOKUP(S39,$A$95:$B$120,2,FALSE),0)&gt;=G39,"Yes","No"),"N/A"),"N/A")</f>
        <v>N/A</v>
      </c>
      <c r="U39" s="3"/>
      <c r="V39" s="22"/>
      <c r="W39" s="180">
        <f t="shared" ref="W39:AQ39" si="3">IF($S39=W$30,$Q39,0)</f>
        <v>0</v>
      </c>
      <c r="X39" s="180">
        <f t="shared" si="0"/>
        <v>0</v>
      </c>
      <c r="Y39" s="180">
        <f t="shared" si="3"/>
        <v>0</v>
      </c>
      <c r="Z39" s="180">
        <f t="shared" si="3"/>
        <v>0</v>
      </c>
      <c r="AA39" s="180">
        <f t="shared" si="0"/>
        <v>0</v>
      </c>
      <c r="AB39" s="180">
        <f t="shared" si="3"/>
        <v>0</v>
      </c>
      <c r="AC39" s="180">
        <f t="shared" si="3"/>
        <v>0</v>
      </c>
      <c r="AD39" s="180">
        <f t="shared" si="3"/>
        <v>0</v>
      </c>
      <c r="AE39" s="180">
        <f t="shared" si="3"/>
        <v>0</v>
      </c>
      <c r="AF39" s="180">
        <f t="shared" si="3"/>
        <v>0</v>
      </c>
      <c r="AG39" s="180">
        <f t="shared" si="3"/>
        <v>0</v>
      </c>
      <c r="AH39" s="180">
        <f t="shared" si="3"/>
        <v>0</v>
      </c>
      <c r="AI39" s="180">
        <f t="shared" si="3"/>
        <v>0</v>
      </c>
      <c r="AJ39" s="180">
        <f t="shared" si="3"/>
        <v>0</v>
      </c>
      <c r="AK39" s="180">
        <f t="shared" si="3"/>
        <v>0</v>
      </c>
      <c r="AL39" s="180">
        <f t="shared" si="3"/>
        <v>0</v>
      </c>
      <c r="AM39" s="180">
        <f t="shared" si="3"/>
        <v>0</v>
      </c>
      <c r="AN39" s="180">
        <f t="shared" si="3"/>
        <v>0</v>
      </c>
      <c r="AO39" s="180">
        <f t="shared" si="3"/>
        <v>0</v>
      </c>
      <c r="AP39" s="180">
        <f t="shared" si="3"/>
        <v>0</v>
      </c>
      <c r="AQ39" s="180">
        <f t="shared" si="3"/>
        <v>0</v>
      </c>
    </row>
    <row r="40" spans="1:44" ht="19.5" customHeight="1" thickBot="1" x14ac:dyDescent="0.25">
      <c r="A40" s="342"/>
      <c r="B40" s="274" t="s">
        <v>30</v>
      </c>
      <c r="C40" s="281"/>
      <c r="D40" s="286" t="s">
        <v>73</v>
      </c>
      <c r="E40" s="278"/>
      <c r="F40" s="363"/>
      <c r="G40" s="361"/>
      <c r="H40" s="352"/>
      <c r="I40" s="355"/>
      <c r="J40" s="356"/>
      <c r="K40" s="358"/>
      <c r="L40" s="334"/>
      <c r="M40" s="334"/>
      <c r="N40" s="368"/>
      <c r="O40" s="329"/>
      <c r="P40" s="336"/>
      <c r="Q40" s="334"/>
      <c r="R40" s="329"/>
      <c r="S40" s="365"/>
      <c r="T40" s="331"/>
      <c r="U40" s="3"/>
      <c r="V40" s="22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</row>
    <row r="41" spans="1:44" ht="19.5" customHeight="1" x14ac:dyDescent="0.2">
      <c r="A41" s="341" t="str">
        <f>A100</f>
        <v>D2 Simple Disconnection to a Conservation Area</v>
      </c>
      <c r="B41" s="273" t="s">
        <v>24</v>
      </c>
      <c r="C41" s="280"/>
      <c r="D41" s="285" t="s">
        <v>13</v>
      </c>
      <c r="E41" s="277"/>
      <c r="F41" s="362"/>
      <c r="G41" s="360">
        <f>'Site Data'!$E$34/12*$B$25*F41*0.5</f>
        <v>0</v>
      </c>
      <c r="H41" s="351">
        <f>1.7/12*('Site Data'!$I$39*C41+'Site Data'!$I$40*C42+'Site Data'!$I$41*SUM(E41:E42))</f>
        <v>0</v>
      </c>
      <c r="I41" s="353" t="s">
        <v>34</v>
      </c>
      <c r="J41" s="354"/>
      <c r="K41" s="357" t="s">
        <v>11</v>
      </c>
      <c r="L41" s="333">
        <f>AB85</f>
        <v>0</v>
      </c>
      <c r="M41" s="333">
        <f>H41+L41</f>
        <v>0</v>
      </c>
      <c r="N41" s="367"/>
      <c r="O41" s="328" t="s">
        <v>11</v>
      </c>
      <c r="P41" s="335">
        <f>IF(N41*0.06&lt;=M41,N41*0.06,M41)</f>
        <v>0</v>
      </c>
      <c r="Q41" s="333">
        <f>M41-P41</f>
        <v>0</v>
      </c>
      <c r="R41" s="328" t="s">
        <v>11</v>
      </c>
      <c r="S41" s="364"/>
      <c r="T41" s="330" t="str">
        <f>IF('Site Data'!$E$14="MS4",IF(F41&gt;0,IF(P41+IF(R41="N/A",0,R41)+IF(S41&lt;&gt;0,VLOOKUP(S41,$A$95:$B$120,2,FALSE),0)&gt;=G41,"Yes","No"),"N/A"),"N/A")</f>
        <v>N/A</v>
      </c>
      <c r="U41" s="3"/>
      <c r="V41" s="22"/>
      <c r="W41" s="180">
        <f t="shared" ref="W41:AQ41" si="4">IF($S41=W$30,$Q41,0)</f>
        <v>0</v>
      </c>
      <c r="X41" s="180">
        <f t="shared" si="0"/>
        <v>0</v>
      </c>
      <c r="Y41" s="180">
        <f t="shared" si="4"/>
        <v>0</v>
      </c>
      <c r="Z41" s="180">
        <f t="shared" si="4"/>
        <v>0</v>
      </c>
      <c r="AA41" s="180">
        <f t="shared" si="0"/>
        <v>0</v>
      </c>
      <c r="AB41" s="180">
        <f t="shared" si="4"/>
        <v>0</v>
      </c>
      <c r="AC41" s="180">
        <f t="shared" si="4"/>
        <v>0</v>
      </c>
      <c r="AD41" s="180">
        <f t="shared" si="4"/>
        <v>0</v>
      </c>
      <c r="AE41" s="180">
        <f t="shared" si="4"/>
        <v>0</v>
      </c>
      <c r="AF41" s="180">
        <f t="shared" si="4"/>
        <v>0</v>
      </c>
      <c r="AG41" s="180">
        <f t="shared" si="4"/>
        <v>0</v>
      </c>
      <c r="AH41" s="180">
        <f t="shared" si="4"/>
        <v>0</v>
      </c>
      <c r="AI41" s="180">
        <f t="shared" si="4"/>
        <v>0</v>
      </c>
      <c r="AJ41" s="180">
        <f t="shared" si="4"/>
        <v>0</v>
      </c>
      <c r="AK41" s="180">
        <f t="shared" si="4"/>
        <v>0</v>
      </c>
      <c r="AL41" s="180">
        <f t="shared" si="4"/>
        <v>0</v>
      </c>
      <c r="AM41" s="180">
        <f t="shared" si="4"/>
        <v>0</v>
      </c>
      <c r="AN41" s="180">
        <f t="shared" si="4"/>
        <v>0</v>
      </c>
      <c r="AO41" s="180">
        <f t="shared" si="4"/>
        <v>0</v>
      </c>
      <c r="AP41" s="180">
        <f t="shared" si="4"/>
        <v>0</v>
      </c>
      <c r="AQ41" s="180">
        <f t="shared" si="4"/>
        <v>0</v>
      </c>
    </row>
    <row r="42" spans="1:44" ht="19.5" customHeight="1" thickBot="1" x14ac:dyDescent="0.25">
      <c r="A42" s="342"/>
      <c r="B42" s="274" t="s">
        <v>30</v>
      </c>
      <c r="C42" s="281"/>
      <c r="D42" s="286" t="s">
        <v>73</v>
      </c>
      <c r="E42" s="278"/>
      <c r="F42" s="363"/>
      <c r="G42" s="361"/>
      <c r="H42" s="352"/>
      <c r="I42" s="355"/>
      <c r="J42" s="356"/>
      <c r="K42" s="358"/>
      <c r="L42" s="334"/>
      <c r="M42" s="334"/>
      <c r="N42" s="368"/>
      <c r="O42" s="329"/>
      <c r="P42" s="336"/>
      <c r="Q42" s="334"/>
      <c r="R42" s="329"/>
      <c r="S42" s="365"/>
      <c r="T42" s="331"/>
      <c r="U42" s="3"/>
      <c r="V42" s="2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</row>
    <row r="43" spans="1:44" ht="19.5" customHeight="1" x14ac:dyDescent="0.2">
      <c r="A43" s="341" t="str">
        <f>A101</f>
        <v>D3 Simple Disconnection to Amended Soils</v>
      </c>
      <c r="B43" s="273" t="s">
        <v>24</v>
      </c>
      <c r="C43" s="280"/>
      <c r="D43" s="285" t="s">
        <v>13</v>
      </c>
      <c r="E43" s="277"/>
      <c r="F43" s="362"/>
      <c r="G43" s="360">
        <f>'Site Data'!$E$34/12*$B$25*F43*0.5</f>
        <v>0</v>
      </c>
      <c r="H43" s="351">
        <f>1.7/12*('Site Data'!$I$39*C43+'Site Data'!$I$40*C44+'Site Data'!$I$41*SUM(E43:E44))</f>
        <v>0</v>
      </c>
      <c r="I43" s="353" t="s">
        <v>35</v>
      </c>
      <c r="J43" s="354"/>
      <c r="K43" s="357" t="s">
        <v>11</v>
      </c>
      <c r="L43" s="333">
        <f>AC85</f>
        <v>0</v>
      </c>
      <c r="M43" s="333">
        <f>H43+L43</f>
        <v>0</v>
      </c>
      <c r="N43" s="367"/>
      <c r="O43" s="328" t="s">
        <v>11</v>
      </c>
      <c r="P43" s="335">
        <f>IF(N43*0.04&lt;=M43,N43*0.04,M43)</f>
        <v>0</v>
      </c>
      <c r="Q43" s="333">
        <f>M43-P43</f>
        <v>0</v>
      </c>
      <c r="R43" s="328" t="s">
        <v>11</v>
      </c>
      <c r="S43" s="364"/>
      <c r="T43" s="330" t="str">
        <f>IF('Site Data'!$E$14="MS4",IF(F43&gt;0,IF(P43+IF(R43="N/A",0,R43)+IF(S43&lt;&gt;0,VLOOKUP(S43,$A$95:$B$120,2,FALSE),0)&gt;=G43,"Yes","No"),"N/A"),"N/A")</f>
        <v>N/A</v>
      </c>
      <c r="U43" s="3"/>
      <c r="V43" s="22"/>
      <c r="W43" s="180">
        <f t="shared" ref="W43:AQ43" si="5">IF($S43=W$30,$Q43,0)</f>
        <v>0</v>
      </c>
      <c r="X43" s="180">
        <f t="shared" si="0"/>
        <v>0</v>
      </c>
      <c r="Y43" s="180">
        <f t="shared" si="5"/>
        <v>0</v>
      </c>
      <c r="Z43" s="180">
        <f t="shared" si="5"/>
        <v>0</v>
      </c>
      <c r="AA43" s="180">
        <f t="shared" si="0"/>
        <v>0</v>
      </c>
      <c r="AB43" s="180">
        <f t="shared" si="5"/>
        <v>0</v>
      </c>
      <c r="AC43" s="180">
        <f t="shared" si="5"/>
        <v>0</v>
      </c>
      <c r="AD43" s="180">
        <f t="shared" si="5"/>
        <v>0</v>
      </c>
      <c r="AE43" s="180">
        <f t="shared" si="5"/>
        <v>0</v>
      </c>
      <c r="AF43" s="180">
        <f t="shared" si="5"/>
        <v>0</v>
      </c>
      <c r="AG43" s="180">
        <f t="shared" si="5"/>
        <v>0</v>
      </c>
      <c r="AH43" s="180">
        <f t="shared" si="5"/>
        <v>0</v>
      </c>
      <c r="AI43" s="180">
        <f t="shared" si="5"/>
        <v>0</v>
      </c>
      <c r="AJ43" s="180">
        <f t="shared" si="5"/>
        <v>0</v>
      </c>
      <c r="AK43" s="180">
        <f t="shared" si="5"/>
        <v>0</v>
      </c>
      <c r="AL43" s="180">
        <f t="shared" si="5"/>
        <v>0</v>
      </c>
      <c r="AM43" s="180">
        <f t="shared" si="5"/>
        <v>0</v>
      </c>
      <c r="AN43" s="180">
        <f t="shared" si="5"/>
        <v>0</v>
      </c>
      <c r="AO43" s="180">
        <f t="shared" si="5"/>
        <v>0</v>
      </c>
      <c r="AP43" s="180">
        <f t="shared" si="5"/>
        <v>0</v>
      </c>
      <c r="AQ43" s="180">
        <f t="shared" si="5"/>
        <v>0</v>
      </c>
    </row>
    <row r="44" spans="1:44" ht="19.5" customHeight="1" thickBot="1" x14ac:dyDescent="0.25">
      <c r="A44" s="342"/>
      <c r="B44" s="274" t="s">
        <v>30</v>
      </c>
      <c r="C44" s="281"/>
      <c r="D44" s="286" t="s">
        <v>73</v>
      </c>
      <c r="E44" s="278"/>
      <c r="F44" s="363"/>
      <c r="G44" s="361"/>
      <c r="H44" s="352"/>
      <c r="I44" s="355"/>
      <c r="J44" s="356"/>
      <c r="K44" s="358"/>
      <c r="L44" s="334"/>
      <c r="M44" s="334"/>
      <c r="N44" s="368"/>
      <c r="O44" s="329"/>
      <c r="P44" s="336"/>
      <c r="Q44" s="334"/>
      <c r="R44" s="329"/>
      <c r="S44" s="365"/>
      <c r="T44" s="331"/>
      <c r="U44" s="3"/>
      <c r="V44" s="22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4" ht="19.5" customHeight="1" x14ac:dyDescent="0.2">
      <c r="A45" s="341" t="str">
        <f>A102</f>
        <v>P1-3 Permeable Pavement - Enhanced</v>
      </c>
      <c r="B45" s="273" t="s">
        <v>24</v>
      </c>
      <c r="C45" s="282"/>
      <c r="D45" s="285" t="s">
        <v>13</v>
      </c>
      <c r="E45" s="277"/>
      <c r="F45" s="362"/>
      <c r="G45" s="360">
        <f>'Site Data'!$E$34/12*$B$25*F45*0.5</f>
        <v>0</v>
      </c>
      <c r="H45" s="351">
        <f>1.7/12*('Site Data'!$I$39*C45+'Site Data'!$I$40*C46+'Site Data'!$I$41*SUM(E45:E46))</f>
        <v>0</v>
      </c>
      <c r="I45" s="353" t="s">
        <v>38</v>
      </c>
      <c r="J45" s="354"/>
      <c r="K45" s="357">
        <v>1</v>
      </c>
      <c r="L45" s="333">
        <f>AD85</f>
        <v>0</v>
      </c>
      <c r="M45" s="333">
        <f>H45+L45</f>
        <v>0</v>
      </c>
      <c r="N45" s="328" t="s">
        <v>11</v>
      </c>
      <c r="O45" s="367"/>
      <c r="P45" s="335">
        <f>IF(O45*K45&lt;=M45,O45*K45,M45)</f>
        <v>0</v>
      </c>
      <c r="Q45" s="333">
        <f>M45-P45</f>
        <v>0</v>
      </c>
      <c r="R45" s="328">
        <f>IF(O45&lt;=0,0,MIN(O45,H45+L45)-P45)</f>
        <v>0</v>
      </c>
      <c r="S45" s="364"/>
      <c r="T45" s="330" t="str">
        <f>IF('Site Data'!$E$14="MS4",IF(F45&gt;0,IF(P45+IF(R45="N/A",0,R45)+IF(S45&lt;&gt;0,VLOOKUP(S45,$A$95:$B$120,2,FALSE),0)&gt;=G45,"Yes","No"),"N/A"),"N/A")</f>
        <v>N/A</v>
      </c>
      <c r="U45" s="3"/>
      <c r="V45" s="162"/>
      <c r="W45" s="180">
        <f t="shared" ref="W45:AQ45" si="6">IF($S45=W$30,$Q45,0)</f>
        <v>0</v>
      </c>
      <c r="X45" s="180">
        <f t="shared" si="0"/>
        <v>0</v>
      </c>
      <c r="Y45" s="180">
        <f t="shared" si="6"/>
        <v>0</v>
      </c>
      <c r="Z45" s="180">
        <f t="shared" si="6"/>
        <v>0</v>
      </c>
      <c r="AA45" s="180">
        <f t="shared" si="0"/>
        <v>0</v>
      </c>
      <c r="AB45" s="180">
        <f t="shared" si="6"/>
        <v>0</v>
      </c>
      <c r="AC45" s="180">
        <f t="shared" si="6"/>
        <v>0</v>
      </c>
      <c r="AD45" s="180">
        <f t="shared" si="6"/>
        <v>0</v>
      </c>
      <c r="AE45" s="180">
        <f t="shared" si="6"/>
        <v>0</v>
      </c>
      <c r="AF45" s="180">
        <f t="shared" si="6"/>
        <v>0</v>
      </c>
      <c r="AG45" s="180">
        <f t="shared" si="6"/>
        <v>0</v>
      </c>
      <c r="AH45" s="180">
        <f t="shared" si="6"/>
        <v>0</v>
      </c>
      <c r="AI45" s="180">
        <f t="shared" si="6"/>
        <v>0</v>
      </c>
      <c r="AJ45" s="180">
        <f t="shared" si="6"/>
        <v>0</v>
      </c>
      <c r="AK45" s="180">
        <f t="shared" si="6"/>
        <v>0</v>
      </c>
      <c r="AL45" s="180">
        <f t="shared" si="6"/>
        <v>0</v>
      </c>
      <c r="AM45" s="180">
        <f t="shared" si="6"/>
        <v>0</v>
      </c>
      <c r="AN45" s="180">
        <f t="shared" si="6"/>
        <v>0</v>
      </c>
      <c r="AO45" s="180">
        <f t="shared" si="6"/>
        <v>0</v>
      </c>
      <c r="AP45" s="180">
        <f t="shared" si="6"/>
        <v>0</v>
      </c>
      <c r="AQ45" s="180">
        <f t="shared" si="6"/>
        <v>0</v>
      </c>
    </row>
    <row r="46" spans="1:44" ht="19.5" customHeight="1" thickBot="1" x14ac:dyDescent="0.25">
      <c r="A46" s="342"/>
      <c r="B46" s="274" t="s">
        <v>30</v>
      </c>
      <c r="C46" s="283"/>
      <c r="D46" s="286" t="s">
        <v>73</v>
      </c>
      <c r="E46" s="278"/>
      <c r="F46" s="363"/>
      <c r="G46" s="361"/>
      <c r="H46" s="352"/>
      <c r="I46" s="355"/>
      <c r="J46" s="356"/>
      <c r="K46" s="358"/>
      <c r="L46" s="334"/>
      <c r="M46" s="334"/>
      <c r="N46" s="329"/>
      <c r="O46" s="368"/>
      <c r="P46" s="336"/>
      <c r="Q46" s="334"/>
      <c r="R46" s="329"/>
      <c r="S46" s="365"/>
      <c r="T46" s="331"/>
      <c r="U46" s="3"/>
      <c r="V46" s="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</row>
    <row r="47" spans="1:44" ht="19.5" customHeight="1" x14ac:dyDescent="0.2">
      <c r="A47" s="341" t="str">
        <f>A103</f>
        <v>P1-3 Permeable Pavement - Standard</v>
      </c>
      <c r="B47" s="273" t="s">
        <v>24</v>
      </c>
      <c r="C47" s="282"/>
      <c r="D47" s="285" t="s">
        <v>13</v>
      </c>
      <c r="E47" s="277"/>
      <c r="F47" s="362"/>
      <c r="G47" s="360">
        <f>'Site Data'!$E$34/12*$B$25*F47*0.5</f>
        <v>0</v>
      </c>
      <c r="H47" s="351">
        <f>1.7/12*('Site Data'!$I$39*C47+'Site Data'!$I$40*C48+'Site Data'!$I$41*SUM(E47:E48))</f>
        <v>0</v>
      </c>
      <c r="I47" s="359" t="s">
        <v>191</v>
      </c>
      <c r="J47" s="354"/>
      <c r="K47" s="357" t="s">
        <v>11</v>
      </c>
      <c r="L47" s="333">
        <f>AE85</f>
        <v>0</v>
      </c>
      <c r="M47" s="333">
        <f>H47+L47</f>
        <v>0</v>
      </c>
      <c r="N47" s="367"/>
      <c r="O47" s="367"/>
      <c r="P47" s="335">
        <f>IF(N47*0.05&lt;=M47,N47*0.05,M47)</f>
        <v>0</v>
      </c>
      <c r="Q47" s="333">
        <f>M47-P47</f>
        <v>0</v>
      </c>
      <c r="R47" s="328">
        <f>IF(O47&lt;=0,0,MIN(O47,H47+L47)-P47)</f>
        <v>0</v>
      </c>
      <c r="S47" s="364"/>
      <c r="T47" s="330" t="str">
        <f>IF('Site Data'!$E$14="MS4",IF(F47&gt;0,IF(P47+IF(R47="N/A",0,R47)+IF(S47&lt;&gt;0,VLOOKUP(S47,$A$95:$B$120,2,FALSE),0)&gt;=G47,"Yes","No"),"N/A"),"N/A")</f>
        <v>N/A</v>
      </c>
      <c r="U47" s="3"/>
      <c r="V47" s="162"/>
      <c r="W47" s="180">
        <f t="shared" ref="W47:AQ61" si="7">IF($S47=W$30,$Q47,0)</f>
        <v>0</v>
      </c>
      <c r="X47" s="180">
        <f t="shared" si="7"/>
        <v>0</v>
      </c>
      <c r="Y47" s="180">
        <f t="shared" si="7"/>
        <v>0</v>
      </c>
      <c r="Z47" s="180">
        <f t="shared" si="7"/>
        <v>0</v>
      </c>
      <c r="AA47" s="180">
        <f t="shared" si="7"/>
        <v>0</v>
      </c>
      <c r="AB47" s="180">
        <f t="shared" si="7"/>
        <v>0</v>
      </c>
      <c r="AC47" s="180">
        <f t="shared" si="7"/>
        <v>0</v>
      </c>
      <c r="AD47" s="180">
        <f t="shared" si="7"/>
        <v>0</v>
      </c>
      <c r="AE47" s="180">
        <f t="shared" si="7"/>
        <v>0</v>
      </c>
      <c r="AF47" s="180">
        <f t="shared" si="7"/>
        <v>0</v>
      </c>
      <c r="AG47" s="180">
        <f t="shared" si="7"/>
        <v>0</v>
      </c>
      <c r="AH47" s="180">
        <f t="shared" si="7"/>
        <v>0</v>
      </c>
      <c r="AI47" s="180">
        <f t="shared" si="7"/>
        <v>0</v>
      </c>
      <c r="AJ47" s="180">
        <f t="shared" si="7"/>
        <v>0</v>
      </c>
      <c r="AK47" s="180">
        <f t="shared" si="7"/>
        <v>0</v>
      </c>
      <c r="AL47" s="180">
        <f t="shared" si="7"/>
        <v>0</v>
      </c>
      <c r="AM47" s="180">
        <f t="shared" si="7"/>
        <v>0</v>
      </c>
      <c r="AN47" s="180">
        <f t="shared" si="7"/>
        <v>0</v>
      </c>
      <c r="AO47" s="180">
        <f t="shared" si="7"/>
        <v>0</v>
      </c>
      <c r="AP47" s="180">
        <f t="shared" si="7"/>
        <v>0</v>
      </c>
      <c r="AQ47" s="180">
        <f t="shared" si="7"/>
        <v>0</v>
      </c>
    </row>
    <row r="48" spans="1:44" ht="19.5" customHeight="1" thickBot="1" x14ac:dyDescent="0.25">
      <c r="A48" s="342"/>
      <c r="B48" s="274" t="s">
        <v>30</v>
      </c>
      <c r="C48" s="283"/>
      <c r="D48" s="286" t="s">
        <v>73</v>
      </c>
      <c r="E48" s="278"/>
      <c r="F48" s="363"/>
      <c r="G48" s="361"/>
      <c r="H48" s="352"/>
      <c r="I48" s="355"/>
      <c r="J48" s="356"/>
      <c r="K48" s="358"/>
      <c r="L48" s="334"/>
      <c r="M48" s="334"/>
      <c r="N48" s="368"/>
      <c r="O48" s="368"/>
      <c r="P48" s="336"/>
      <c r="Q48" s="334"/>
      <c r="R48" s="329"/>
      <c r="S48" s="365"/>
      <c r="T48" s="331"/>
      <c r="U48" s="3"/>
      <c r="V48" s="22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</row>
    <row r="49" spans="1:43" ht="19.5" customHeight="1" x14ac:dyDescent="0.2">
      <c r="A49" s="341" t="str">
        <f>A104</f>
        <v>B1-5 Bioretention - Enhanced</v>
      </c>
      <c r="B49" s="273" t="s">
        <v>24</v>
      </c>
      <c r="C49" s="282"/>
      <c r="D49" s="285" t="s">
        <v>13</v>
      </c>
      <c r="E49" s="277"/>
      <c r="F49" s="362"/>
      <c r="G49" s="360">
        <f>'Site Data'!$E$34/12*$B$25*F49*0.5</f>
        <v>0</v>
      </c>
      <c r="H49" s="351">
        <f>1.7/12*('Site Data'!$I$39*C49+'Site Data'!$I$40*C50+'Site Data'!$I$41*SUM(E49:E50))</f>
        <v>0</v>
      </c>
      <c r="I49" s="353" t="s">
        <v>132</v>
      </c>
      <c r="J49" s="354"/>
      <c r="K49" s="357">
        <v>1</v>
      </c>
      <c r="L49" s="333">
        <f>AF85</f>
        <v>0</v>
      </c>
      <c r="M49" s="333">
        <f>H49+L49</f>
        <v>0</v>
      </c>
      <c r="N49" s="328" t="s">
        <v>11</v>
      </c>
      <c r="O49" s="367"/>
      <c r="P49" s="335">
        <f>IF(O49*K49&lt;=M49,O49*K49,M49)</f>
        <v>0</v>
      </c>
      <c r="Q49" s="333">
        <f>M49-P49</f>
        <v>0</v>
      </c>
      <c r="R49" s="328">
        <f>IF(O49&lt;=0,0,MIN(O49,H49+L49)-P49)</f>
        <v>0</v>
      </c>
      <c r="S49" s="364"/>
      <c r="T49" s="330" t="str">
        <f>IF('Site Data'!$E$14="MS4",IF(F49&gt;0,IF(P49+IF(R49="N/A",0,R49)+IF(S49&lt;&gt;0,VLOOKUP(S49,$A$95:$B$120,2,FALSE),0)&gt;=G49,"Yes","No"),"N/A"),"N/A")</f>
        <v>N/A</v>
      </c>
      <c r="U49" s="3"/>
      <c r="V49" s="162"/>
      <c r="W49" s="180">
        <f t="shared" ref="W49:AQ49" si="8">IF($S49=W$30,$Q49,0)</f>
        <v>0</v>
      </c>
      <c r="X49" s="180">
        <f t="shared" si="7"/>
        <v>0</v>
      </c>
      <c r="Y49" s="180">
        <f t="shared" si="8"/>
        <v>0</v>
      </c>
      <c r="Z49" s="180">
        <f t="shared" si="8"/>
        <v>0</v>
      </c>
      <c r="AA49" s="180">
        <f t="shared" si="7"/>
        <v>0</v>
      </c>
      <c r="AB49" s="180">
        <f t="shared" si="8"/>
        <v>0</v>
      </c>
      <c r="AC49" s="180">
        <f t="shared" si="8"/>
        <v>0</v>
      </c>
      <c r="AD49" s="180">
        <f t="shared" si="8"/>
        <v>0</v>
      </c>
      <c r="AE49" s="180">
        <f t="shared" si="8"/>
        <v>0</v>
      </c>
      <c r="AF49" s="180">
        <f t="shared" si="8"/>
        <v>0</v>
      </c>
      <c r="AG49" s="180">
        <f t="shared" si="8"/>
        <v>0</v>
      </c>
      <c r="AH49" s="180">
        <f t="shared" si="8"/>
        <v>0</v>
      </c>
      <c r="AI49" s="180">
        <f t="shared" si="8"/>
        <v>0</v>
      </c>
      <c r="AJ49" s="180">
        <f t="shared" si="8"/>
        <v>0</v>
      </c>
      <c r="AK49" s="180">
        <f t="shared" si="8"/>
        <v>0</v>
      </c>
      <c r="AL49" s="180">
        <f t="shared" si="8"/>
        <v>0</v>
      </c>
      <c r="AM49" s="180">
        <f t="shared" si="8"/>
        <v>0</v>
      </c>
      <c r="AN49" s="180">
        <f t="shared" si="8"/>
        <v>0</v>
      </c>
      <c r="AO49" s="180">
        <f t="shared" si="8"/>
        <v>0</v>
      </c>
      <c r="AP49" s="180">
        <f t="shared" si="8"/>
        <v>0</v>
      </c>
      <c r="AQ49" s="180">
        <f t="shared" si="8"/>
        <v>0</v>
      </c>
    </row>
    <row r="50" spans="1:43" ht="19.5" customHeight="1" thickBot="1" x14ac:dyDescent="0.25">
      <c r="A50" s="342"/>
      <c r="B50" s="274" t="s">
        <v>30</v>
      </c>
      <c r="C50" s="283"/>
      <c r="D50" s="286" t="s">
        <v>73</v>
      </c>
      <c r="E50" s="278"/>
      <c r="F50" s="363"/>
      <c r="G50" s="361"/>
      <c r="H50" s="352"/>
      <c r="I50" s="355"/>
      <c r="J50" s="356"/>
      <c r="K50" s="358"/>
      <c r="L50" s="334"/>
      <c r="M50" s="334"/>
      <c r="N50" s="329"/>
      <c r="O50" s="368"/>
      <c r="P50" s="336"/>
      <c r="Q50" s="334"/>
      <c r="R50" s="329"/>
      <c r="S50" s="365"/>
      <c r="T50" s="331"/>
      <c r="U50" s="3"/>
      <c r="V50" s="22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</row>
    <row r="51" spans="1:43" ht="19.5" customHeight="1" x14ac:dyDescent="0.2">
      <c r="A51" s="341" t="str">
        <f>A105</f>
        <v>B1-5 Bioretention - Standard</v>
      </c>
      <c r="B51" s="273" t="s">
        <v>24</v>
      </c>
      <c r="C51" s="282"/>
      <c r="D51" s="285" t="s">
        <v>13</v>
      </c>
      <c r="E51" s="277"/>
      <c r="F51" s="362"/>
      <c r="G51" s="360">
        <f>'Site Data'!$E$34/12*$B$25*F51*0.5</f>
        <v>0</v>
      </c>
      <c r="H51" s="351">
        <f>1.7/12*('Site Data'!$I$39*C51+'Site Data'!$I$40*C52+'Site Data'!$I$41*SUM(E51:E52))</f>
        <v>0</v>
      </c>
      <c r="I51" s="353" t="s">
        <v>133</v>
      </c>
      <c r="J51" s="354"/>
      <c r="K51" s="357">
        <v>0.6</v>
      </c>
      <c r="L51" s="333">
        <f>AG85</f>
        <v>0</v>
      </c>
      <c r="M51" s="333">
        <f>H51+L51</f>
        <v>0</v>
      </c>
      <c r="N51" s="328" t="s">
        <v>11</v>
      </c>
      <c r="O51" s="367"/>
      <c r="P51" s="335">
        <f>IF(O51*K51&lt;=M51,O51*K51,M51)</f>
        <v>0</v>
      </c>
      <c r="Q51" s="333">
        <f>M51-P51</f>
        <v>0</v>
      </c>
      <c r="R51" s="328">
        <f>IF(O51&lt;=0,0,MIN(O51,H51+L51)-P51)</f>
        <v>0</v>
      </c>
      <c r="S51" s="364"/>
      <c r="T51" s="330" t="str">
        <f>IF('Site Data'!$E$14="MS4",IF(F51&gt;0,IF(P51+IF(R51="N/A",0,R51)+IF(S51&lt;&gt;0,VLOOKUP(S51,$A$95:$B$120,2,FALSE),0)&gt;=G51,"Yes","No"),"N/A"),"N/A")</f>
        <v>N/A</v>
      </c>
      <c r="U51" s="3"/>
      <c r="V51" s="162"/>
      <c r="W51" s="180">
        <f t="shared" ref="W51:AQ51" si="9">IF($S51=W$30,$Q51,0)</f>
        <v>0</v>
      </c>
      <c r="X51" s="180">
        <f t="shared" si="7"/>
        <v>0</v>
      </c>
      <c r="Y51" s="180">
        <f t="shared" si="9"/>
        <v>0</v>
      </c>
      <c r="Z51" s="180">
        <f t="shared" si="9"/>
        <v>0</v>
      </c>
      <c r="AA51" s="180">
        <f t="shared" si="7"/>
        <v>0</v>
      </c>
      <c r="AB51" s="180">
        <f t="shared" si="9"/>
        <v>0</v>
      </c>
      <c r="AC51" s="180">
        <f t="shared" si="9"/>
        <v>0</v>
      </c>
      <c r="AD51" s="180">
        <f t="shared" si="9"/>
        <v>0</v>
      </c>
      <c r="AE51" s="180">
        <f t="shared" si="9"/>
        <v>0</v>
      </c>
      <c r="AF51" s="180">
        <f t="shared" si="9"/>
        <v>0</v>
      </c>
      <c r="AG51" s="180">
        <f t="shared" si="9"/>
        <v>0</v>
      </c>
      <c r="AH51" s="180">
        <f t="shared" si="9"/>
        <v>0</v>
      </c>
      <c r="AI51" s="180">
        <f t="shared" si="9"/>
        <v>0</v>
      </c>
      <c r="AJ51" s="180">
        <f t="shared" si="9"/>
        <v>0</v>
      </c>
      <c r="AK51" s="180">
        <f t="shared" si="9"/>
        <v>0</v>
      </c>
      <c r="AL51" s="180">
        <f t="shared" si="9"/>
        <v>0</v>
      </c>
      <c r="AM51" s="180">
        <f t="shared" si="9"/>
        <v>0</v>
      </c>
      <c r="AN51" s="180">
        <f t="shared" si="9"/>
        <v>0</v>
      </c>
      <c r="AO51" s="180">
        <f t="shared" si="9"/>
        <v>0</v>
      </c>
      <c r="AP51" s="180">
        <f t="shared" si="9"/>
        <v>0</v>
      </c>
      <c r="AQ51" s="180">
        <f t="shared" si="9"/>
        <v>0</v>
      </c>
    </row>
    <row r="52" spans="1:43" ht="19.5" customHeight="1" thickBot="1" x14ac:dyDescent="0.25">
      <c r="A52" s="342"/>
      <c r="B52" s="274" t="s">
        <v>30</v>
      </c>
      <c r="C52" s="283"/>
      <c r="D52" s="286" t="s">
        <v>73</v>
      </c>
      <c r="E52" s="278"/>
      <c r="F52" s="363"/>
      <c r="G52" s="361"/>
      <c r="H52" s="352"/>
      <c r="I52" s="355"/>
      <c r="J52" s="356"/>
      <c r="K52" s="358"/>
      <c r="L52" s="334"/>
      <c r="M52" s="334"/>
      <c r="N52" s="329"/>
      <c r="O52" s="368"/>
      <c r="P52" s="336"/>
      <c r="Q52" s="334"/>
      <c r="R52" s="329"/>
      <c r="S52" s="365"/>
      <c r="T52" s="331"/>
      <c r="U52" s="3"/>
      <c r="V52" s="22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</row>
    <row r="53" spans="1:43" ht="19.5" customHeight="1" x14ac:dyDescent="0.2">
      <c r="A53" s="341" t="str">
        <f>A106</f>
        <v>F1-4 Stormwater Filtering Systems</v>
      </c>
      <c r="B53" s="273" t="s">
        <v>24</v>
      </c>
      <c r="C53" s="282"/>
      <c r="D53" s="285" t="s">
        <v>13</v>
      </c>
      <c r="E53" s="277"/>
      <c r="F53" s="362"/>
      <c r="G53" s="360">
        <f>'Site Data'!$E$34/12*$B$25*F53*0.5</f>
        <v>0</v>
      </c>
      <c r="H53" s="351">
        <f>1.7/12*('Site Data'!$I$39*C53+'Site Data'!$I$40*C54+'Site Data'!$I$41*SUM(E53:E54))</f>
        <v>0</v>
      </c>
      <c r="I53" s="353" t="s">
        <v>43</v>
      </c>
      <c r="J53" s="354"/>
      <c r="K53" s="357">
        <v>0</v>
      </c>
      <c r="L53" s="333">
        <f>AH85</f>
        <v>0</v>
      </c>
      <c r="M53" s="333">
        <f>H53+L53</f>
        <v>0</v>
      </c>
      <c r="N53" s="328" t="s">
        <v>11</v>
      </c>
      <c r="O53" s="367"/>
      <c r="P53" s="335">
        <f>IF(O53*K53&lt;=M53,O53*K53,M53)</f>
        <v>0</v>
      </c>
      <c r="Q53" s="333">
        <f>M53-P53</f>
        <v>0</v>
      </c>
      <c r="R53" s="328">
        <f>IF(O53&lt;=0,0,MIN(O53,H53+L53)-P53)</f>
        <v>0</v>
      </c>
      <c r="S53" s="364"/>
      <c r="T53" s="330" t="str">
        <f>IF('Site Data'!$E$14="MS4",IF(F53&gt;0,IF(P53+IF(R53="N/A",0,R53)+IF(S53&lt;&gt;0,VLOOKUP(S53,$A$95:$B$120,2,FALSE),0)&gt;=G53,"Yes","No"),"N/A"),"N/A")</f>
        <v>N/A</v>
      </c>
      <c r="U53" s="3"/>
      <c r="V53" s="162"/>
      <c r="W53" s="180">
        <f t="shared" ref="W53:AQ53" si="10">IF($S53=W$30,$Q53,0)</f>
        <v>0</v>
      </c>
      <c r="X53" s="180">
        <f t="shared" si="7"/>
        <v>0</v>
      </c>
      <c r="Y53" s="180">
        <f t="shared" si="10"/>
        <v>0</v>
      </c>
      <c r="Z53" s="180">
        <f t="shared" si="10"/>
        <v>0</v>
      </c>
      <c r="AA53" s="180">
        <f t="shared" si="7"/>
        <v>0</v>
      </c>
      <c r="AB53" s="180">
        <f t="shared" si="10"/>
        <v>0</v>
      </c>
      <c r="AC53" s="180">
        <f t="shared" si="10"/>
        <v>0</v>
      </c>
      <c r="AD53" s="180">
        <f t="shared" si="10"/>
        <v>0</v>
      </c>
      <c r="AE53" s="180">
        <f t="shared" si="10"/>
        <v>0</v>
      </c>
      <c r="AF53" s="180">
        <f t="shared" si="10"/>
        <v>0</v>
      </c>
      <c r="AG53" s="180">
        <f t="shared" si="10"/>
        <v>0</v>
      </c>
      <c r="AH53" s="180">
        <f t="shared" si="10"/>
        <v>0</v>
      </c>
      <c r="AI53" s="180">
        <f t="shared" si="10"/>
        <v>0</v>
      </c>
      <c r="AJ53" s="180">
        <f t="shared" si="10"/>
        <v>0</v>
      </c>
      <c r="AK53" s="180">
        <f t="shared" si="10"/>
        <v>0</v>
      </c>
      <c r="AL53" s="180">
        <f t="shared" si="10"/>
        <v>0</v>
      </c>
      <c r="AM53" s="180">
        <f t="shared" si="10"/>
        <v>0</v>
      </c>
      <c r="AN53" s="180">
        <f t="shared" si="10"/>
        <v>0</v>
      </c>
      <c r="AO53" s="180">
        <f t="shared" si="10"/>
        <v>0</v>
      </c>
      <c r="AP53" s="180">
        <f t="shared" si="10"/>
        <v>0</v>
      </c>
      <c r="AQ53" s="180">
        <f t="shared" si="10"/>
        <v>0</v>
      </c>
    </row>
    <row r="54" spans="1:43" ht="19.5" customHeight="1" thickBot="1" x14ac:dyDescent="0.25">
      <c r="A54" s="342"/>
      <c r="B54" s="274" t="s">
        <v>30</v>
      </c>
      <c r="C54" s="283"/>
      <c r="D54" s="286" t="s">
        <v>73</v>
      </c>
      <c r="E54" s="278"/>
      <c r="F54" s="363"/>
      <c r="G54" s="361"/>
      <c r="H54" s="352"/>
      <c r="I54" s="355"/>
      <c r="J54" s="356"/>
      <c r="K54" s="358"/>
      <c r="L54" s="334"/>
      <c r="M54" s="334"/>
      <c r="N54" s="329"/>
      <c r="O54" s="368"/>
      <c r="P54" s="336"/>
      <c r="Q54" s="334"/>
      <c r="R54" s="329"/>
      <c r="S54" s="365"/>
      <c r="T54" s="331"/>
      <c r="U54" s="3"/>
      <c r="V54" s="22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</row>
    <row r="55" spans="1:43" ht="19.5" customHeight="1" x14ac:dyDescent="0.2">
      <c r="A55" s="341" t="str">
        <f>A107</f>
        <v>I1-2 Stormwater Infiltration</v>
      </c>
      <c r="B55" s="273" t="s">
        <v>24</v>
      </c>
      <c r="C55" s="282"/>
      <c r="D55" s="285" t="s">
        <v>13</v>
      </c>
      <c r="E55" s="277"/>
      <c r="F55" s="362"/>
      <c r="G55" s="360">
        <f>'Site Data'!$E$34/12*$B$25*F55*0.5</f>
        <v>0</v>
      </c>
      <c r="H55" s="351">
        <f>1.7/12*('Site Data'!$I$39*C55+'Site Data'!$I$40*C56+'Site Data'!$I$41*SUM(E55:E56))</f>
        <v>0</v>
      </c>
      <c r="I55" s="353" t="s">
        <v>132</v>
      </c>
      <c r="J55" s="354"/>
      <c r="K55" s="357">
        <v>1</v>
      </c>
      <c r="L55" s="333">
        <f>AI85</f>
        <v>0</v>
      </c>
      <c r="M55" s="333">
        <f>H55+L55</f>
        <v>0</v>
      </c>
      <c r="N55" s="328" t="s">
        <v>11</v>
      </c>
      <c r="O55" s="367"/>
      <c r="P55" s="335">
        <f>IF(O55*K55&lt;=M55,O55*K55,M55)</f>
        <v>0</v>
      </c>
      <c r="Q55" s="333">
        <f>M55-P55</f>
        <v>0</v>
      </c>
      <c r="R55" s="328" t="s">
        <v>11</v>
      </c>
      <c r="S55" s="364"/>
      <c r="T55" s="330" t="str">
        <f>IF('Site Data'!$E$14="MS4",IF(F55&gt;0,IF(P55+IF(R55="N/A",0,R55)+IF(S55&lt;&gt;0,VLOOKUP(S55,$A$95:$B$120,2,FALSE),0)&gt;=G55,"Yes","No"),"N/A"),"N/A")</f>
        <v>N/A</v>
      </c>
      <c r="U55" s="3"/>
      <c r="V55" s="162"/>
      <c r="W55" s="180">
        <f t="shared" ref="W55:AQ55" si="11">IF($S55=W$30,$Q55,0)</f>
        <v>0</v>
      </c>
      <c r="X55" s="180">
        <f t="shared" si="7"/>
        <v>0</v>
      </c>
      <c r="Y55" s="180">
        <f t="shared" si="11"/>
        <v>0</v>
      </c>
      <c r="Z55" s="180">
        <f t="shared" si="11"/>
        <v>0</v>
      </c>
      <c r="AA55" s="180">
        <f t="shared" si="7"/>
        <v>0</v>
      </c>
      <c r="AB55" s="180">
        <f t="shared" si="11"/>
        <v>0</v>
      </c>
      <c r="AC55" s="180">
        <f t="shared" si="11"/>
        <v>0</v>
      </c>
      <c r="AD55" s="180">
        <f t="shared" si="11"/>
        <v>0</v>
      </c>
      <c r="AE55" s="180">
        <f t="shared" si="11"/>
        <v>0</v>
      </c>
      <c r="AF55" s="180">
        <f t="shared" si="11"/>
        <v>0</v>
      </c>
      <c r="AG55" s="180">
        <f t="shared" si="11"/>
        <v>0</v>
      </c>
      <c r="AH55" s="180">
        <f t="shared" si="11"/>
        <v>0</v>
      </c>
      <c r="AI55" s="180">
        <f t="shared" si="11"/>
        <v>0</v>
      </c>
      <c r="AJ55" s="180">
        <f t="shared" si="11"/>
        <v>0</v>
      </c>
      <c r="AK55" s="180">
        <f t="shared" si="11"/>
        <v>0</v>
      </c>
      <c r="AL55" s="180">
        <f t="shared" si="11"/>
        <v>0</v>
      </c>
      <c r="AM55" s="180">
        <f t="shared" si="11"/>
        <v>0</v>
      </c>
      <c r="AN55" s="180">
        <f t="shared" si="11"/>
        <v>0</v>
      </c>
      <c r="AO55" s="180">
        <f t="shared" si="11"/>
        <v>0</v>
      </c>
      <c r="AP55" s="180">
        <f t="shared" si="11"/>
        <v>0</v>
      </c>
      <c r="AQ55" s="180">
        <f t="shared" si="11"/>
        <v>0</v>
      </c>
    </row>
    <row r="56" spans="1:43" ht="19.5" customHeight="1" thickBot="1" x14ac:dyDescent="0.25">
      <c r="A56" s="342"/>
      <c r="B56" s="274" t="s">
        <v>30</v>
      </c>
      <c r="C56" s="283"/>
      <c r="D56" s="286" t="s">
        <v>73</v>
      </c>
      <c r="E56" s="278"/>
      <c r="F56" s="363"/>
      <c r="G56" s="361"/>
      <c r="H56" s="352"/>
      <c r="I56" s="355"/>
      <c r="J56" s="356"/>
      <c r="K56" s="358"/>
      <c r="L56" s="334"/>
      <c r="M56" s="334"/>
      <c r="N56" s="329"/>
      <c r="O56" s="368"/>
      <c r="P56" s="336"/>
      <c r="Q56" s="334"/>
      <c r="R56" s="329"/>
      <c r="S56" s="365"/>
      <c r="T56" s="331"/>
      <c r="U56" s="3"/>
      <c r="V56" s="22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</row>
    <row r="57" spans="1:43" ht="19.5" customHeight="1" x14ac:dyDescent="0.2">
      <c r="A57" s="341" t="str">
        <f>A108</f>
        <v>S1-4 Storage Practices</v>
      </c>
      <c r="B57" s="273" t="s">
        <v>24</v>
      </c>
      <c r="C57" s="282"/>
      <c r="D57" s="285" t="s">
        <v>13</v>
      </c>
      <c r="E57" s="277"/>
      <c r="F57" s="371" t="s">
        <v>11</v>
      </c>
      <c r="G57" s="371" t="s">
        <v>11</v>
      </c>
      <c r="H57" s="351">
        <f>1.7/12*('Site Data'!$I$39*C57+'Site Data'!$I$40*C58+'Site Data'!$I$41*SUM(E57:E58))</f>
        <v>0</v>
      </c>
      <c r="I57" s="353" t="s">
        <v>43</v>
      </c>
      <c r="J57" s="354"/>
      <c r="K57" s="357">
        <v>0</v>
      </c>
      <c r="L57" s="333">
        <f>AJ85</f>
        <v>0</v>
      </c>
      <c r="M57" s="333">
        <f>H57+L57</f>
        <v>0</v>
      </c>
      <c r="N57" s="328" t="s">
        <v>11</v>
      </c>
      <c r="O57" s="367"/>
      <c r="P57" s="335">
        <f>IF(O57*K57&lt;=M57,O57*K57,M57)</f>
        <v>0</v>
      </c>
      <c r="Q57" s="333">
        <f>M57-P57</f>
        <v>0</v>
      </c>
      <c r="R57" s="328" t="s">
        <v>11</v>
      </c>
      <c r="S57" s="364"/>
      <c r="T57" s="372" t="s">
        <v>11</v>
      </c>
      <c r="U57" s="3"/>
      <c r="V57" s="162"/>
      <c r="W57" s="180">
        <f t="shared" ref="W57:AQ57" si="12">IF($S57=W$30,$Q57,0)</f>
        <v>0</v>
      </c>
      <c r="X57" s="180">
        <f t="shared" si="7"/>
        <v>0</v>
      </c>
      <c r="Y57" s="180">
        <f t="shared" si="12"/>
        <v>0</v>
      </c>
      <c r="Z57" s="180">
        <f t="shared" si="12"/>
        <v>0</v>
      </c>
      <c r="AA57" s="180">
        <f t="shared" si="7"/>
        <v>0</v>
      </c>
      <c r="AB57" s="180">
        <f t="shared" si="12"/>
        <v>0</v>
      </c>
      <c r="AC57" s="180">
        <f t="shared" si="12"/>
        <v>0</v>
      </c>
      <c r="AD57" s="180">
        <f t="shared" si="12"/>
        <v>0</v>
      </c>
      <c r="AE57" s="180">
        <f t="shared" si="12"/>
        <v>0</v>
      </c>
      <c r="AF57" s="180">
        <f t="shared" si="12"/>
        <v>0</v>
      </c>
      <c r="AG57" s="180">
        <f t="shared" si="12"/>
        <v>0</v>
      </c>
      <c r="AH57" s="180">
        <f t="shared" si="12"/>
        <v>0</v>
      </c>
      <c r="AI57" s="180">
        <f t="shared" si="12"/>
        <v>0</v>
      </c>
      <c r="AJ57" s="180">
        <f t="shared" si="12"/>
        <v>0</v>
      </c>
      <c r="AK57" s="180">
        <f t="shared" si="12"/>
        <v>0</v>
      </c>
      <c r="AL57" s="180">
        <f t="shared" si="12"/>
        <v>0</v>
      </c>
      <c r="AM57" s="180">
        <f t="shared" si="12"/>
        <v>0</v>
      </c>
      <c r="AN57" s="180">
        <f t="shared" si="12"/>
        <v>0</v>
      </c>
      <c r="AO57" s="180">
        <f t="shared" si="12"/>
        <v>0</v>
      </c>
      <c r="AP57" s="180">
        <f t="shared" si="12"/>
        <v>0</v>
      </c>
      <c r="AQ57" s="180">
        <f t="shared" si="12"/>
        <v>0</v>
      </c>
    </row>
    <row r="58" spans="1:43" ht="19.5" customHeight="1" thickBot="1" x14ac:dyDescent="0.25">
      <c r="A58" s="342"/>
      <c r="B58" s="274" t="s">
        <v>30</v>
      </c>
      <c r="C58" s="283"/>
      <c r="D58" s="286" t="s">
        <v>73</v>
      </c>
      <c r="E58" s="278"/>
      <c r="F58" s="361"/>
      <c r="G58" s="361"/>
      <c r="H58" s="352"/>
      <c r="I58" s="355"/>
      <c r="J58" s="356"/>
      <c r="K58" s="358"/>
      <c r="L58" s="334"/>
      <c r="M58" s="334"/>
      <c r="N58" s="329"/>
      <c r="O58" s="368"/>
      <c r="P58" s="336"/>
      <c r="Q58" s="334"/>
      <c r="R58" s="329"/>
      <c r="S58" s="365"/>
      <c r="T58" s="331"/>
      <c r="U58" s="3"/>
      <c r="V58" s="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</row>
    <row r="59" spans="1:43" ht="19.5" customHeight="1" x14ac:dyDescent="0.2">
      <c r="A59" s="341" t="str">
        <f>A109</f>
        <v>C1-3 Stormwater Ponds</v>
      </c>
      <c r="B59" s="273" t="s">
        <v>24</v>
      </c>
      <c r="C59" s="282"/>
      <c r="D59" s="285" t="s">
        <v>13</v>
      </c>
      <c r="E59" s="277"/>
      <c r="F59" s="362"/>
      <c r="G59" s="360">
        <f>'Site Data'!$E$34/12*$B$25*F59*0.5</f>
        <v>0</v>
      </c>
      <c r="H59" s="351">
        <f>1.7/12*('Site Data'!$I$39*C59+'Site Data'!$I$40*C60+'Site Data'!$I$41*SUM(E59:E60))</f>
        <v>0</v>
      </c>
      <c r="I59" s="359" t="s">
        <v>106</v>
      </c>
      <c r="J59" s="354"/>
      <c r="K59" s="357">
        <v>0.1</v>
      </c>
      <c r="L59" s="333">
        <f>AK85</f>
        <v>0</v>
      </c>
      <c r="M59" s="333">
        <f>H59+L59</f>
        <v>0</v>
      </c>
      <c r="N59" s="328" t="s">
        <v>11</v>
      </c>
      <c r="O59" s="367"/>
      <c r="P59" s="335">
        <f t="shared" ref="P59" si="13">IF(O59*K59&lt;=M59,O59*K59,M59)</f>
        <v>0</v>
      </c>
      <c r="Q59" s="333">
        <f>M59-P59</f>
        <v>0</v>
      </c>
      <c r="R59" s="328">
        <f>IF(O59&lt;=0,0,MIN(O59,H59+L59)-P59)</f>
        <v>0</v>
      </c>
      <c r="S59" s="364"/>
      <c r="T59" s="330" t="str">
        <f>IF('Site Data'!$E$14="MS4",IF(F59&gt;0,IF(P59+IF(R59="N/A",0,R59)+IF(S59&lt;&gt;0,VLOOKUP(S59,$A$95:$B$120,2,FALSE),0)&gt;=G59,"Yes","No"),"N/A"),"N/A")</f>
        <v>N/A</v>
      </c>
      <c r="U59" s="3"/>
      <c r="V59" s="162"/>
      <c r="W59" s="180">
        <f t="shared" ref="W59:AQ59" si="14">IF($S59=W$30,$Q59,0)</f>
        <v>0</v>
      </c>
      <c r="X59" s="180">
        <f t="shared" si="7"/>
        <v>0</v>
      </c>
      <c r="Y59" s="180">
        <f t="shared" si="14"/>
        <v>0</v>
      </c>
      <c r="Z59" s="180">
        <f t="shared" si="14"/>
        <v>0</v>
      </c>
      <c r="AA59" s="180">
        <f t="shared" si="7"/>
        <v>0</v>
      </c>
      <c r="AB59" s="180">
        <f t="shared" si="14"/>
        <v>0</v>
      </c>
      <c r="AC59" s="180">
        <f t="shared" si="14"/>
        <v>0</v>
      </c>
      <c r="AD59" s="180">
        <f t="shared" si="14"/>
        <v>0</v>
      </c>
      <c r="AE59" s="180">
        <f t="shared" si="14"/>
        <v>0</v>
      </c>
      <c r="AF59" s="180">
        <f t="shared" si="14"/>
        <v>0</v>
      </c>
      <c r="AG59" s="180">
        <f t="shared" si="14"/>
        <v>0</v>
      </c>
      <c r="AH59" s="180">
        <f t="shared" si="14"/>
        <v>0</v>
      </c>
      <c r="AI59" s="180">
        <f t="shared" si="14"/>
        <v>0</v>
      </c>
      <c r="AJ59" s="180">
        <f t="shared" si="14"/>
        <v>0</v>
      </c>
      <c r="AK59" s="180">
        <f t="shared" si="14"/>
        <v>0</v>
      </c>
      <c r="AL59" s="180">
        <f t="shared" si="14"/>
        <v>0</v>
      </c>
      <c r="AM59" s="180">
        <f t="shared" si="14"/>
        <v>0</v>
      </c>
      <c r="AN59" s="180">
        <f t="shared" si="14"/>
        <v>0</v>
      </c>
      <c r="AO59" s="180">
        <f t="shared" si="14"/>
        <v>0</v>
      </c>
      <c r="AP59" s="180">
        <f t="shared" si="14"/>
        <v>0</v>
      </c>
      <c r="AQ59" s="180">
        <f t="shared" si="14"/>
        <v>0</v>
      </c>
    </row>
    <row r="60" spans="1:43" ht="19.5" customHeight="1" thickBot="1" x14ac:dyDescent="0.25">
      <c r="A60" s="342"/>
      <c r="B60" s="274" t="s">
        <v>30</v>
      </c>
      <c r="C60" s="283"/>
      <c r="D60" s="286" t="s">
        <v>73</v>
      </c>
      <c r="E60" s="278"/>
      <c r="F60" s="363"/>
      <c r="G60" s="361"/>
      <c r="H60" s="352"/>
      <c r="I60" s="355"/>
      <c r="J60" s="356"/>
      <c r="K60" s="358"/>
      <c r="L60" s="334"/>
      <c r="M60" s="334"/>
      <c r="N60" s="329"/>
      <c r="O60" s="368"/>
      <c r="P60" s="336"/>
      <c r="Q60" s="334"/>
      <c r="R60" s="329"/>
      <c r="S60" s="365"/>
      <c r="T60" s="331"/>
      <c r="U60" s="3"/>
      <c r="V60" s="22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</row>
    <row r="61" spans="1:43" ht="19.5" customHeight="1" x14ac:dyDescent="0.2">
      <c r="A61" s="341" t="str">
        <f>A110</f>
        <v>W1-2 Stormwater Wetlands</v>
      </c>
      <c r="B61" s="273" t="s">
        <v>24</v>
      </c>
      <c r="C61" s="282"/>
      <c r="D61" s="285" t="s">
        <v>13</v>
      </c>
      <c r="E61" s="277"/>
      <c r="F61" s="362"/>
      <c r="G61" s="360">
        <f>'Site Data'!$E$34/12*$B$25*F61*0.5</f>
        <v>0</v>
      </c>
      <c r="H61" s="351">
        <f>1.7/12*('Site Data'!$I$39*C61+'Site Data'!$I$40*C62+'Site Data'!$I$41*SUM(E61:E62))</f>
        <v>0</v>
      </c>
      <c r="I61" s="359" t="s">
        <v>134</v>
      </c>
      <c r="J61" s="354"/>
      <c r="K61" s="357">
        <v>0.1</v>
      </c>
      <c r="L61" s="333">
        <f>AL85</f>
        <v>0</v>
      </c>
      <c r="M61" s="333">
        <f>H61+L61</f>
        <v>0</v>
      </c>
      <c r="N61" s="328" t="s">
        <v>11</v>
      </c>
      <c r="O61" s="367"/>
      <c r="P61" s="335">
        <f t="shared" ref="P61" si="15">IF(O61*K61&lt;=M61,O61*K61,M61)</f>
        <v>0</v>
      </c>
      <c r="Q61" s="333">
        <f>M61-P61</f>
        <v>0</v>
      </c>
      <c r="R61" s="328">
        <f>IF(O61&lt;=0,0,MIN(O61,H61+L61)-P61)</f>
        <v>0</v>
      </c>
      <c r="S61" s="364"/>
      <c r="T61" s="330" t="str">
        <f>IF('Site Data'!$E$14="MS4",IF(F61&gt;0,IF(P61+IF(R61="N/A",0,R61)+IF(S61&lt;&gt;0,VLOOKUP(S61,$A$95:$B$120,2,FALSE),0)&gt;=G61,"Yes","No"),"N/A"),"N/A")</f>
        <v>N/A</v>
      </c>
      <c r="U61" s="3"/>
      <c r="V61" s="162"/>
      <c r="W61" s="180">
        <f t="shared" ref="W61:AQ61" si="16">IF($S61=W$30,$Q61,0)</f>
        <v>0</v>
      </c>
      <c r="X61" s="180">
        <f t="shared" si="7"/>
        <v>0</v>
      </c>
      <c r="Y61" s="180">
        <f t="shared" si="16"/>
        <v>0</v>
      </c>
      <c r="Z61" s="180">
        <f t="shared" si="16"/>
        <v>0</v>
      </c>
      <c r="AA61" s="180">
        <f t="shared" si="7"/>
        <v>0</v>
      </c>
      <c r="AB61" s="180">
        <f t="shared" si="16"/>
        <v>0</v>
      </c>
      <c r="AC61" s="180">
        <f t="shared" si="16"/>
        <v>0</v>
      </c>
      <c r="AD61" s="180">
        <f t="shared" si="16"/>
        <v>0</v>
      </c>
      <c r="AE61" s="180">
        <f t="shared" si="16"/>
        <v>0</v>
      </c>
      <c r="AF61" s="180">
        <f t="shared" si="16"/>
        <v>0</v>
      </c>
      <c r="AG61" s="180">
        <f t="shared" si="16"/>
        <v>0</v>
      </c>
      <c r="AH61" s="180">
        <f t="shared" si="16"/>
        <v>0</v>
      </c>
      <c r="AI61" s="180">
        <f t="shared" si="16"/>
        <v>0</v>
      </c>
      <c r="AJ61" s="180">
        <f t="shared" si="16"/>
        <v>0</v>
      </c>
      <c r="AK61" s="180">
        <f t="shared" si="16"/>
        <v>0</v>
      </c>
      <c r="AL61" s="180">
        <f t="shared" si="16"/>
        <v>0</v>
      </c>
      <c r="AM61" s="180">
        <f t="shared" si="16"/>
        <v>0</v>
      </c>
      <c r="AN61" s="180">
        <f t="shared" si="16"/>
        <v>0</v>
      </c>
      <c r="AO61" s="180">
        <f t="shared" si="16"/>
        <v>0</v>
      </c>
      <c r="AP61" s="180">
        <f t="shared" si="16"/>
        <v>0</v>
      </c>
      <c r="AQ61" s="180">
        <f t="shared" si="16"/>
        <v>0</v>
      </c>
    </row>
    <row r="62" spans="1:43" ht="19.5" customHeight="1" thickBot="1" x14ac:dyDescent="0.25">
      <c r="A62" s="342"/>
      <c r="B62" s="274" t="s">
        <v>30</v>
      </c>
      <c r="C62" s="283"/>
      <c r="D62" s="286" t="s">
        <v>73</v>
      </c>
      <c r="E62" s="278"/>
      <c r="F62" s="363"/>
      <c r="G62" s="361"/>
      <c r="H62" s="352"/>
      <c r="I62" s="355"/>
      <c r="J62" s="356"/>
      <c r="K62" s="358"/>
      <c r="L62" s="334"/>
      <c r="M62" s="334"/>
      <c r="N62" s="329"/>
      <c r="O62" s="368"/>
      <c r="P62" s="336"/>
      <c r="Q62" s="334"/>
      <c r="R62" s="329"/>
      <c r="S62" s="365"/>
      <c r="T62" s="331"/>
      <c r="U62" s="3"/>
      <c r="V62" s="22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</row>
    <row r="63" spans="1:43" ht="19.5" customHeight="1" x14ac:dyDescent="0.2">
      <c r="A63" s="341" t="str">
        <f>A111</f>
        <v>O1 Grass Channel</v>
      </c>
      <c r="B63" s="273" t="s">
        <v>24</v>
      </c>
      <c r="C63" s="282"/>
      <c r="D63" s="285" t="s">
        <v>13</v>
      </c>
      <c r="E63" s="277"/>
      <c r="F63" s="362"/>
      <c r="G63" s="360">
        <f>'Site Data'!$E$34/12*$B$25*F63*0.5</f>
        <v>0</v>
      </c>
      <c r="H63" s="351">
        <f>1.7/12*('Site Data'!$I$39*C63+'Site Data'!$I$40*C64+'Site Data'!$I$41*SUM(E63:E64))</f>
        <v>0</v>
      </c>
      <c r="I63" s="353" t="s">
        <v>41</v>
      </c>
      <c r="J63" s="354"/>
      <c r="K63" s="357">
        <v>0.1</v>
      </c>
      <c r="L63" s="333">
        <f>AM85</f>
        <v>0</v>
      </c>
      <c r="M63" s="333">
        <f>H63+L63</f>
        <v>0</v>
      </c>
      <c r="N63" s="328" t="s">
        <v>11</v>
      </c>
      <c r="O63" s="367"/>
      <c r="P63" s="335">
        <f>IF(O63*K63&lt;=M63,O63*K63,M63)</f>
        <v>0</v>
      </c>
      <c r="Q63" s="333">
        <f>M63-P63</f>
        <v>0</v>
      </c>
      <c r="R63" s="328" t="s">
        <v>11</v>
      </c>
      <c r="S63" s="364"/>
      <c r="T63" s="330" t="str">
        <f>IF('Site Data'!$E$14="MS4",IF(F63&gt;0,IF(P63+IF(R63="N/A",0,R63)+IF(S63&lt;&gt;0,VLOOKUP(S63,$A$95:$B$120,2,FALSE),0)&gt;=G63,"Yes","No"),"N/A"),"N/A")</f>
        <v>N/A</v>
      </c>
      <c r="U63" s="3"/>
      <c r="V63" s="162"/>
      <c r="W63" s="180">
        <f t="shared" ref="W63:AQ77" si="17">IF($S63=W$30,$Q63,0)</f>
        <v>0</v>
      </c>
      <c r="X63" s="180">
        <f t="shared" si="17"/>
        <v>0</v>
      </c>
      <c r="Y63" s="180">
        <f t="shared" si="17"/>
        <v>0</v>
      </c>
      <c r="Z63" s="180">
        <f t="shared" si="17"/>
        <v>0</v>
      </c>
      <c r="AA63" s="180">
        <f t="shared" si="17"/>
        <v>0</v>
      </c>
      <c r="AB63" s="180">
        <f t="shared" si="17"/>
        <v>0</v>
      </c>
      <c r="AC63" s="180">
        <f t="shared" si="17"/>
        <v>0</v>
      </c>
      <c r="AD63" s="180">
        <f t="shared" si="17"/>
        <v>0</v>
      </c>
      <c r="AE63" s="180">
        <f t="shared" si="17"/>
        <v>0</v>
      </c>
      <c r="AF63" s="180">
        <f t="shared" si="17"/>
        <v>0</v>
      </c>
      <c r="AG63" s="180">
        <f t="shared" si="17"/>
        <v>0</v>
      </c>
      <c r="AH63" s="180">
        <f t="shared" si="17"/>
        <v>0</v>
      </c>
      <c r="AI63" s="180">
        <f t="shared" si="17"/>
        <v>0</v>
      </c>
      <c r="AJ63" s="180">
        <f t="shared" si="17"/>
        <v>0</v>
      </c>
      <c r="AK63" s="180">
        <f t="shared" si="17"/>
        <v>0</v>
      </c>
      <c r="AL63" s="180">
        <f t="shared" si="17"/>
        <v>0</v>
      </c>
      <c r="AM63" s="180">
        <f t="shared" si="17"/>
        <v>0</v>
      </c>
      <c r="AN63" s="180">
        <f t="shared" si="17"/>
        <v>0</v>
      </c>
      <c r="AO63" s="180">
        <f t="shared" si="17"/>
        <v>0</v>
      </c>
      <c r="AP63" s="180">
        <f t="shared" si="17"/>
        <v>0</v>
      </c>
      <c r="AQ63" s="180">
        <f t="shared" si="17"/>
        <v>0</v>
      </c>
    </row>
    <row r="64" spans="1:43" ht="19.5" customHeight="1" thickBot="1" x14ac:dyDescent="0.25">
      <c r="A64" s="342"/>
      <c r="B64" s="274" t="s">
        <v>30</v>
      </c>
      <c r="C64" s="283"/>
      <c r="D64" s="286" t="s">
        <v>73</v>
      </c>
      <c r="E64" s="278"/>
      <c r="F64" s="363"/>
      <c r="G64" s="361"/>
      <c r="H64" s="352"/>
      <c r="I64" s="355"/>
      <c r="J64" s="356"/>
      <c r="K64" s="358"/>
      <c r="L64" s="334"/>
      <c r="M64" s="334"/>
      <c r="N64" s="329"/>
      <c r="O64" s="368"/>
      <c r="P64" s="336"/>
      <c r="Q64" s="334"/>
      <c r="R64" s="329"/>
      <c r="S64" s="365"/>
      <c r="T64" s="331"/>
      <c r="U64" s="3"/>
      <c r="V64" s="22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</row>
    <row r="65" spans="1:44" ht="19.5" customHeight="1" x14ac:dyDescent="0.2">
      <c r="A65" s="341" t="str">
        <f>A112</f>
        <v>O1 Grass Channel with Amended Soils</v>
      </c>
      <c r="B65" s="273" t="s">
        <v>24</v>
      </c>
      <c r="C65" s="282"/>
      <c r="D65" s="285" t="s">
        <v>13</v>
      </c>
      <c r="E65" s="277"/>
      <c r="F65" s="362"/>
      <c r="G65" s="360">
        <f>'Site Data'!$E$34/12*$B$25*F65*0.5</f>
        <v>0</v>
      </c>
      <c r="H65" s="351">
        <f>1.7/12*('Site Data'!$I$39*C65+'Site Data'!$I$40*C66+'Site Data'!$I$41*SUM(E65:E66))</f>
        <v>0</v>
      </c>
      <c r="I65" s="353" t="s">
        <v>42</v>
      </c>
      <c r="J65" s="354"/>
      <c r="K65" s="357">
        <v>0.3</v>
      </c>
      <c r="L65" s="333">
        <f>AN85</f>
        <v>0</v>
      </c>
      <c r="M65" s="333">
        <f>H65+L65</f>
        <v>0</v>
      </c>
      <c r="N65" s="328" t="s">
        <v>11</v>
      </c>
      <c r="O65" s="367"/>
      <c r="P65" s="335">
        <f>IF(O65*K65&lt;=M65,O65*K65,M65)</f>
        <v>0</v>
      </c>
      <c r="Q65" s="333">
        <f>M65-P65</f>
        <v>0</v>
      </c>
      <c r="R65" s="328" t="s">
        <v>11</v>
      </c>
      <c r="S65" s="364"/>
      <c r="T65" s="330" t="str">
        <f>IF('Site Data'!$E$14="MS4",IF(F65&gt;0,IF(P65+IF(R65="N/A",0,R65)+IF(S65&lt;&gt;0,VLOOKUP(S65,$A$95:$B$120,2,FALSE),0)&gt;=G65,"Yes","No"),"N/A"),"N/A")</f>
        <v>N/A</v>
      </c>
      <c r="U65" s="3"/>
      <c r="V65" s="162"/>
      <c r="W65" s="180">
        <f t="shared" ref="W65:AQ65" si="18">IF($S65=W$30,$Q65,0)</f>
        <v>0</v>
      </c>
      <c r="X65" s="180">
        <f t="shared" si="17"/>
        <v>0</v>
      </c>
      <c r="Y65" s="180">
        <f t="shared" si="18"/>
        <v>0</v>
      </c>
      <c r="Z65" s="180">
        <f t="shared" si="18"/>
        <v>0</v>
      </c>
      <c r="AA65" s="180">
        <f t="shared" si="17"/>
        <v>0</v>
      </c>
      <c r="AB65" s="180">
        <f t="shared" si="18"/>
        <v>0</v>
      </c>
      <c r="AC65" s="180">
        <f t="shared" si="18"/>
        <v>0</v>
      </c>
      <c r="AD65" s="180">
        <f t="shared" si="18"/>
        <v>0</v>
      </c>
      <c r="AE65" s="180">
        <f t="shared" si="18"/>
        <v>0</v>
      </c>
      <c r="AF65" s="180">
        <f t="shared" si="18"/>
        <v>0</v>
      </c>
      <c r="AG65" s="180">
        <f t="shared" si="18"/>
        <v>0</v>
      </c>
      <c r="AH65" s="180">
        <f t="shared" si="18"/>
        <v>0</v>
      </c>
      <c r="AI65" s="180">
        <f t="shared" si="18"/>
        <v>0</v>
      </c>
      <c r="AJ65" s="180">
        <f t="shared" si="18"/>
        <v>0</v>
      </c>
      <c r="AK65" s="180">
        <f t="shared" si="18"/>
        <v>0</v>
      </c>
      <c r="AL65" s="180">
        <f t="shared" si="18"/>
        <v>0</v>
      </c>
      <c r="AM65" s="180">
        <f t="shared" si="18"/>
        <v>0</v>
      </c>
      <c r="AN65" s="180">
        <f t="shared" si="18"/>
        <v>0</v>
      </c>
      <c r="AO65" s="180">
        <f t="shared" si="18"/>
        <v>0</v>
      </c>
      <c r="AP65" s="180">
        <f t="shared" si="18"/>
        <v>0</v>
      </c>
      <c r="AQ65" s="180">
        <f t="shared" si="18"/>
        <v>0</v>
      </c>
    </row>
    <row r="66" spans="1:44" ht="19.5" customHeight="1" thickBot="1" x14ac:dyDescent="0.25">
      <c r="A66" s="342"/>
      <c r="B66" s="274" t="s">
        <v>30</v>
      </c>
      <c r="C66" s="283"/>
      <c r="D66" s="286" t="s">
        <v>73</v>
      </c>
      <c r="E66" s="278"/>
      <c r="F66" s="363"/>
      <c r="G66" s="361"/>
      <c r="H66" s="352"/>
      <c r="I66" s="355"/>
      <c r="J66" s="356"/>
      <c r="K66" s="358"/>
      <c r="L66" s="334"/>
      <c r="M66" s="334"/>
      <c r="N66" s="329"/>
      <c r="O66" s="368"/>
      <c r="P66" s="336"/>
      <c r="Q66" s="334"/>
      <c r="R66" s="329"/>
      <c r="S66" s="365"/>
      <c r="T66" s="331"/>
      <c r="U66" s="3"/>
      <c r="V66" s="22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4" ht="19.5" customHeight="1" x14ac:dyDescent="0.2">
      <c r="A67" s="341" t="str">
        <f>A113</f>
        <v>O2 Dry Swale</v>
      </c>
      <c r="B67" s="273" t="s">
        <v>24</v>
      </c>
      <c r="C67" s="282"/>
      <c r="D67" s="285" t="s">
        <v>13</v>
      </c>
      <c r="E67" s="277"/>
      <c r="F67" s="362"/>
      <c r="G67" s="360">
        <f>'Site Data'!$E$34/12*$B$25*F67*0.5</f>
        <v>0</v>
      </c>
      <c r="H67" s="351">
        <f>1.7/12*('Site Data'!$I$39*C67+'Site Data'!$I$40*C68+'Site Data'!$I$41*SUM(E67:E68))</f>
        <v>0</v>
      </c>
      <c r="I67" s="353" t="s">
        <v>133</v>
      </c>
      <c r="J67" s="354"/>
      <c r="K67" s="357">
        <v>0.6</v>
      </c>
      <c r="L67" s="333">
        <f>AO85</f>
        <v>0</v>
      </c>
      <c r="M67" s="333">
        <f>H67+L67</f>
        <v>0</v>
      </c>
      <c r="N67" s="328" t="s">
        <v>11</v>
      </c>
      <c r="O67" s="367"/>
      <c r="P67" s="335">
        <f>IF(O67*K67&lt;=M67,O67*K67,M67)</f>
        <v>0</v>
      </c>
      <c r="Q67" s="333">
        <f>M67-P67</f>
        <v>0</v>
      </c>
      <c r="R67" s="328">
        <f>IF(O67&lt;=0,0,MIN(O67,H67+L67)-P67)</f>
        <v>0</v>
      </c>
      <c r="S67" s="364"/>
      <c r="T67" s="330" t="str">
        <f>IF('Site Data'!$E$14="MS4",IF(F67&gt;0,IF(P67+IF(R67="N/A",0,R67)+IF(S67&lt;&gt;0,VLOOKUP(S67,$A$95:$B$120,2,FALSE),0)&gt;=G67,"Yes","No"),"N/A"),"N/A")</f>
        <v>N/A</v>
      </c>
      <c r="U67" s="3"/>
      <c r="V67" s="162"/>
      <c r="W67" s="180">
        <f t="shared" ref="W67:AQ67" si="19">IF($S67=W$30,$Q67,0)</f>
        <v>0</v>
      </c>
      <c r="X67" s="180">
        <f t="shared" si="17"/>
        <v>0</v>
      </c>
      <c r="Y67" s="180">
        <f t="shared" si="19"/>
        <v>0</v>
      </c>
      <c r="Z67" s="180">
        <f t="shared" si="19"/>
        <v>0</v>
      </c>
      <c r="AA67" s="180">
        <f t="shared" si="17"/>
        <v>0</v>
      </c>
      <c r="AB67" s="180">
        <f t="shared" si="19"/>
        <v>0</v>
      </c>
      <c r="AC67" s="180">
        <f t="shared" si="19"/>
        <v>0</v>
      </c>
      <c r="AD67" s="180">
        <f t="shared" si="19"/>
        <v>0</v>
      </c>
      <c r="AE67" s="180">
        <f t="shared" si="19"/>
        <v>0</v>
      </c>
      <c r="AF67" s="180">
        <f t="shared" si="19"/>
        <v>0</v>
      </c>
      <c r="AG67" s="180">
        <f t="shared" si="19"/>
        <v>0</v>
      </c>
      <c r="AH67" s="180">
        <f t="shared" si="19"/>
        <v>0</v>
      </c>
      <c r="AI67" s="180">
        <f t="shared" si="19"/>
        <v>0</v>
      </c>
      <c r="AJ67" s="180">
        <f t="shared" si="19"/>
        <v>0</v>
      </c>
      <c r="AK67" s="180">
        <f t="shared" si="19"/>
        <v>0</v>
      </c>
      <c r="AL67" s="180">
        <f t="shared" si="19"/>
        <v>0</v>
      </c>
      <c r="AM67" s="180">
        <f t="shared" si="19"/>
        <v>0</v>
      </c>
      <c r="AN67" s="180">
        <f t="shared" si="19"/>
        <v>0</v>
      </c>
      <c r="AO67" s="180">
        <f t="shared" si="19"/>
        <v>0</v>
      </c>
      <c r="AP67" s="180">
        <f t="shared" si="19"/>
        <v>0</v>
      </c>
      <c r="AQ67" s="180">
        <f t="shared" si="19"/>
        <v>0</v>
      </c>
    </row>
    <row r="68" spans="1:44" ht="19.5" customHeight="1" thickBot="1" x14ac:dyDescent="0.25">
      <c r="A68" s="342"/>
      <c r="B68" s="274" t="s">
        <v>30</v>
      </c>
      <c r="C68" s="283"/>
      <c r="D68" s="286" t="s">
        <v>73</v>
      </c>
      <c r="E68" s="278"/>
      <c r="F68" s="363"/>
      <c r="G68" s="361"/>
      <c r="H68" s="352"/>
      <c r="I68" s="355"/>
      <c r="J68" s="356"/>
      <c r="K68" s="358"/>
      <c r="L68" s="334"/>
      <c r="M68" s="334"/>
      <c r="N68" s="329"/>
      <c r="O68" s="368"/>
      <c r="P68" s="336"/>
      <c r="Q68" s="334"/>
      <c r="R68" s="329"/>
      <c r="S68" s="365"/>
      <c r="T68" s="331"/>
      <c r="U68" s="3"/>
      <c r="V68" s="22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4" ht="19.5" customHeight="1" x14ac:dyDescent="0.2">
      <c r="A69" s="341" t="str">
        <f>A114</f>
        <v>O3 Wet Swale</v>
      </c>
      <c r="B69" s="273" t="s">
        <v>24</v>
      </c>
      <c r="C69" s="282"/>
      <c r="D69" s="285" t="s">
        <v>13</v>
      </c>
      <c r="E69" s="277"/>
      <c r="F69" s="362"/>
      <c r="G69" s="360">
        <f>'Site Data'!$E$34/12*$B$25*F69*0.5</f>
        <v>0</v>
      </c>
      <c r="H69" s="351">
        <f>1.7/12*('Site Data'!$I$39*C69+'Site Data'!$I$40*C70+'Site Data'!$I$41*SUM(E69:E70))</f>
        <v>0</v>
      </c>
      <c r="I69" s="359" t="s">
        <v>134</v>
      </c>
      <c r="J69" s="354"/>
      <c r="K69" s="357">
        <v>0.1</v>
      </c>
      <c r="L69" s="333">
        <f>AP85</f>
        <v>0</v>
      </c>
      <c r="M69" s="333">
        <f>H69+L69</f>
        <v>0</v>
      </c>
      <c r="N69" s="328" t="s">
        <v>11</v>
      </c>
      <c r="O69" s="367"/>
      <c r="P69" s="335">
        <f>IF(O69*K69&lt;=M69,O69*K69,M69)</f>
        <v>0</v>
      </c>
      <c r="Q69" s="333">
        <f>M69-P69</f>
        <v>0</v>
      </c>
      <c r="R69" s="328">
        <f>IF(O69&lt;=0,0,MIN(O69,H69+L69)-P69)</f>
        <v>0</v>
      </c>
      <c r="S69" s="364"/>
      <c r="T69" s="330" t="str">
        <f>IF('Site Data'!$E$14="MS4",IF(F69&gt;0,IF(P69+IF(R69="N/A",0,R69)+IF(S69&lt;&gt;0,VLOOKUP(S69,$A$95:$B$120,2,FALSE),0)&gt;=G69,"Yes","No"),"N/A"),"N/A")</f>
        <v>N/A</v>
      </c>
      <c r="U69" s="3"/>
      <c r="V69" s="162"/>
      <c r="W69" s="180">
        <f t="shared" ref="W69:AQ69" si="20">IF($S69=W$30,$Q69,0)</f>
        <v>0</v>
      </c>
      <c r="X69" s="180">
        <f t="shared" si="17"/>
        <v>0</v>
      </c>
      <c r="Y69" s="180">
        <f t="shared" si="20"/>
        <v>0</v>
      </c>
      <c r="Z69" s="180">
        <f t="shared" si="20"/>
        <v>0</v>
      </c>
      <c r="AA69" s="180">
        <f t="shared" si="17"/>
        <v>0</v>
      </c>
      <c r="AB69" s="180">
        <f t="shared" si="20"/>
        <v>0</v>
      </c>
      <c r="AC69" s="180">
        <f t="shared" si="20"/>
        <v>0</v>
      </c>
      <c r="AD69" s="180">
        <f t="shared" si="20"/>
        <v>0</v>
      </c>
      <c r="AE69" s="180">
        <f t="shared" si="20"/>
        <v>0</v>
      </c>
      <c r="AF69" s="180">
        <f t="shared" si="20"/>
        <v>0</v>
      </c>
      <c r="AG69" s="180">
        <f t="shared" si="20"/>
        <v>0</v>
      </c>
      <c r="AH69" s="180">
        <f t="shared" si="20"/>
        <v>0</v>
      </c>
      <c r="AI69" s="180">
        <f t="shared" si="20"/>
        <v>0</v>
      </c>
      <c r="AJ69" s="180">
        <f t="shared" si="20"/>
        <v>0</v>
      </c>
      <c r="AK69" s="180">
        <f t="shared" si="20"/>
        <v>0</v>
      </c>
      <c r="AL69" s="180">
        <f t="shared" si="20"/>
        <v>0</v>
      </c>
      <c r="AM69" s="180">
        <f t="shared" si="20"/>
        <v>0</v>
      </c>
      <c r="AN69" s="180">
        <f t="shared" si="20"/>
        <v>0</v>
      </c>
      <c r="AO69" s="180">
        <f t="shared" si="20"/>
        <v>0</v>
      </c>
      <c r="AP69" s="180">
        <f t="shared" si="20"/>
        <v>0</v>
      </c>
      <c r="AQ69" s="180">
        <f t="shared" si="20"/>
        <v>0</v>
      </c>
    </row>
    <row r="70" spans="1:44" ht="19.5" customHeight="1" thickBot="1" x14ac:dyDescent="0.25">
      <c r="A70" s="342"/>
      <c r="B70" s="274" t="s">
        <v>30</v>
      </c>
      <c r="C70" s="283"/>
      <c r="D70" s="286" t="s">
        <v>73</v>
      </c>
      <c r="E70" s="278"/>
      <c r="F70" s="363"/>
      <c r="G70" s="361"/>
      <c r="H70" s="352"/>
      <c r="I70" s="355"/>
      <c r="J70" s="356"/>
      <c r="K70" s="358"/>
      <c r="L70" s="334"/>
      <c r="M70" s="334"/>
      <c r="N70" s="329"/>
      <c r="O70" s="368"/>
      <c r="P70" s="336"/>
      <c r="Q70" s="334"/>
      <c r="R70" s="329"/>
      <c r="S70" s="365"/>
      <c r="T70" s="331"/>
      <c r="U70" s="3"/>
      <c r="V70" s="22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4" ht="19.5" customHeight="1" x14ac:dyDescent="0.2">
      <c r="A71" s="341" t="str">
        <f>A115</f>
        <v>M1 Proprietary Practices</v>
      </c>
      <c r="B71" s="273" t="s">
        <v>24</v>
      </c>
      <c r="C71" s="282"/>
      <c r="D71" s="285" t="s">
        <v>13</v>
      </c>
      <c r="E71" s="277"/>
      <c r="F71" s="362"/>
      <c r="G71" s="360">
        <f>'Site Data'!$E$34/12*$B$25*F71*0.5</f>
        <v>0</v>
      </c>
      <c r="H71" s="351">
        <f>1.7/12*('Site Data'!$I$39*C71+'Site Data'!$I$40*C72+'Site Data'!$I$41*SUM(E71:E72))</f>
        <v>0</v>
      </c>
      <c r="I71" s="353" t="s">
        <v>135</v>
      </c>
      <c r="J71" s="354"/>
      <c r="K71" s="369">
        <v>0</v>
      </c>
      <c r="L71" s="333">
        <f>AQ85</f>
        <v>0</v>
      </c>
      <c r="M71" s="333">
        <f>H71+L71</f>
        <v>0</v>
      </c>
      <c r="N71" s="328" t="s">
        <v>11</v>
      </c>
      <c r="O71" s="367"/>
      <c r="P71" s="335">
        <f>IF(O71*K71&lt;=M71,O71*K71,M71)</f>
        <v>0</v>
      </c>
      <c r="Q71" s="333">
        <f>M71-P71</f>
        <v>0</v>
      </c>
      <c r="R71" s="328">
        <f>H71+L71</f>
        <v>0</v>
      </c>
      <c r="S71" s="364"/>
      <c r="T71" s="330" t="str">
        <f>IF('Site Data'!$E$14="MS4",IF(F71&gt;0,IF(P71+IF(R71="N/A",0,R71)+IF(S71&lt;&gt;0,VLOOKUP(S71,$A$95:$B$120,2,FALSE),0)&gt;=G71,"Yes","No"),"N/A"),"N/A")</f>
        <v>N/A</v>
      </c>
      <c r="U71" s="3"/>
      <c r="V71" s="162"/>
      <c r="W71" s="180">
        <f t="shared" ref="W71:AQ71" si="21">IF($S71=W$30,$Q71,0)</f>
        <v>0</v>
      </c>
      <c r="X71" s="180">
        <f t="shared" si="17"/>
        <v>0</v>
      </c>
      <c r="Y71" s="180">
        <f t="shared" si="21"/>
        <v>0</v>
      </c>
      <c r="Z71" s="180">
        <f t="shared" si="21"/>
        <v>0</v>
      </c>
      <c r="AA71" s="180">
        <f t="shared" si="17"/>
        <v>0</v>
      </c>
      <c r="AB71" s="180">
        <f t="shared" si="21"/>
        <v>0</v>
      </c>
      <c r="AC71" s="180">
        <f t="shared" si="21"/>
        <v>0</v>
      </c>
      <c r="AD71" s="180">
        <f t="shared" si="21"/>
        <v>0</v>
      </c>
      <c r="AE71" s="180">
        <f t="shared" si="21"/>
        <v>0</v>
      </c>
      <c r="AF71" s="180">
        <f t="shared" si="21"/>
        <v>0</v>
      </c>
      <c r="AG71" s="180">
        <f t="shared" si="21"/>
        <v>0</v>
      </c>
      <c r="AH71" s="180">
        <f t="shared" si="21"/>
        <v>0</v>
      </c>
      <c r="AI71" s="180">
        <f t="shared" si="21"/>
        <v>0</v>
      </c>
      <c r="AJ71" s="180">
        <f t="shared" si="21"/>
        <v>0</v>
      </c>
      <c r="AK71" s="180">
        <f t="shared" si="21"/>
        <v>0</v>
      </c>
      <c r="AL71" s="180">
        <f t="shared" si="21"/>
        <v>0</v>
      </c>
      <c r="AM71" s="180">
        <f t="shared" si="21"/>
        <v>0</v>
      </c>
      <c r="AN71" s="180">
        <f t="shared" si="21"/>
        <v>0</v>
      </c>
      <c r="AO71" s="180">
        <f t="shared" si="21"/>
        <v>0</v>
      </c>
      <c r="AP71" s="180">
        <f t="shared" si="21"/>
        <v>0</v>
      </c>
      <c r="AQ71" s="180">
        <f t="shared" si="21"/>
        <v>0</v>
      </c>
    </row>
    <row r="72" spans="1:44" ht="19.5" customHeight="1" thickBot="1" x14ac:dyDescent="0.25">
      <c r="A72" s="342"/>
      <c r="B72" s="274" t="s">
        <v>30</v>
      </c>
      <c r="C72" s="284"/>
      <c r="D72" s="287" t="s">
        <v>73</v>
      </c>
      <c r="E72" s="278"/>
      <c r="F72" s="363"/>
      <c r="G72" s="361"/>
      <c r="H72" s="352"/>
      <c r="I72" s="355"/>
      <c r="J72" s="356"/>
      <c r="K72" s="370"/>
      <c r="L72" s="334"/>
      <c r="M72" s="334"/>
      <c r="N72" s="329"/>
      <c r="O72" s="368"/>
      <c r="P72" s="336"/>
      <c r="Q72" s="334"/>
      <c r="R72" s="329"/>
      <c r="S72" s="366"/>
      <c r="T72" s="331"/>
      <c r="U72" s="3"/>
      <c r="V72" s="22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4" customFormat="1" ht="19.5" customHeight="1" x14ac:dyDescent="0.2">
      <c r="A73" s="341" t="str">
        <f>A116</f>
        <v>T1 Tree Planting - Small Tree</v>
      </c>
      <c r="B73" s="343" t="s">
        <v>198</v>
      </c>
      <c r="C73" s="344"/>
      <c r="D73" s="344"/>
      <c r="E73" s="344"/>
      <c r="F73" s="345"/>
      <c r="G73" s="349"/>
      <c r="H73" s="351" t="s">
        <v>11</v>
      </c>
      <c r="I73" s="359" t="s">
        <v>201</v>
      </c>
      <c r="J73" s="354"/>
      <c r="K73" s="357" t="s">
        <v>11</v>
      </c>
      <c r="L73" s="333" t="s">
        <v>11</v>
      </c>
      <c r="M73" s="333" t="s">
        <v>11</v>
      </c>
      <c r="N73" s="328" t="s">
        <v>11</v>
      </c>
      <c r="O73" s="328" t="s">
        <v>11</v>
      </c>
      <c r="P73" s="335">
        <f>5*G73</f>
        <v>0</v>
      </c>
      <c r="Q73" s="333" t="s">
        <v>11</v>
      </c>
      <c r="R73" s="328" t="s">
        <v>11</v>
      </c>
      <c r="S73" s="328" t="s">
        <v>11</v>
      </c>
      <c r="T73" s="330" t="str">
        <f>IF('Site Data'!$E$14="MS4",IF(F73&gt;0,IF(P73+IF(R73="N/A",0,R73)+IF(S73&lt;&gt;0,VLOOKUP(S73,$A$95:$B$120,2,FALSE),0)&gt;=G73,"Yes","No"),"N/A"),"N/A")</f>
        <v>N/A</v>
      </c>
      <c r="U73" s="26"/>
      <c r="V73" s="27"/>
      <c r="W73" s="180">
        <f t="shared" ref="W73:AQ73" si="22">IF($S73=W$30,$Q73,0)</f>
        <v>0</v>
      </c>
      <c r="X73" s="180">
        <f t="shared" si="17"/>
        <v>0</v>
      </c>
      <c r="Y73" s="180">
        <f t="shared" si="22"/>
        <v>0</v>
      </c>
      <c r="Z73" s="180">
        <f t="shared" si="22"/>
        <v>0</v>
      </c>
      <c r="AA73" s="180">
        <f t="shared" si="17"/>
        <v>0</v>
      </c>
      <c r="AB73" s="180">
        <f t="shared" si="22"/>
        <v>0</v>
      </c>
      <c r="AC73" s="180">
        <f t="shared" si="22"/>
        <v>0</v>
      </c>
      <c r="AD73" s="180">
        <f t="shared" si="22"/>
        <v>0</v>
      </c>
      <c r="AE73" s="180">
        <f t="shared" si="22"/>
        <v>0</v>
      </c>
      <c r="AF73" s="180">
        <f t="shared" si="22"/>
        <v>0</v>
      </c>
      <c r="AG73" s="180">
        <f t="shared" si="22"/>
        <v>0</v>
      </c>
      <c r="AH73" s="180">
        <f t="shared" si="22"/>
        <v>0</v>
      </c>
      <c r="AI73" s="180">
        <f t="shared" si="22"/>
        <v>0</v>
      </c>
      <c r="AJ73" s="180">
        <f t="shared" si="22"/>
        <v>0</v>
      </c>
      <c r="AK73" s="180">
        <f t="shared" si="22"/>
        <v>0</v>
      </c>
      <c r="AL73" s="180">
        <f t="shared" si="22"/>
        <v>0</v>
      </c>
      <c r="AM73" s="180">
        <f t="shared" si="22"/>
        <v>0</v>
      </c>
      <c r="AN73" s="180">
        <f t="shared" si="22"/>
        <v>0</v>
      </c>
      <c r="AO73" s="180">
        <f t="shared" si="22"/>
        <v>0</v>
      </c>
      <c r="AP73" s="180">
        <f t="shared" si="22"/>
        <v>0</v>
      </c>
      <c r="AQ73" s="180">
        <f t="shared" si="22"/>
        <v>0</v>
      </c>
      <c r="AR73" s="28"/>
    </row>
    <row r="74" spans="1:44" customFormat="1" ht="19.5" customHeight="1" thickBot="1" x14ac:dyDescent="0.25">
      <c r="A74" s="342"/>
      <c r="B74" s="346"/>
      <c r="C74" s="347"/>
      <c r="D74" s="347"/>
      <c r="E74" s="347"/>
      <c r="F74" s="348"/>
      <c r="G74" s="350"/>
      <c r="H74" s="352"/>
      <c r="I74" s="355"/>
      <c r="J74" s="356"/>
      <c r="K74" s="358"/>
      <c r="L74" s="334"/>
      <c r="M74" s="334"/>
      <c r="N74" s="329"/>
      <c r="O74" s="329"/>
      <c r="P74" s="336"/>
      <c r="Q74" s="334"/>
      <c r="R74" s="329"/>
      <c r="S74" s="329"/>
      <c r="T74" s="331"/>
      <c r="U74" s="26"/>
      <c r="V74" s="27"/>
      <c r="W74" s="182"/>
      <c r="X74" s="181"/>
      <c r="Y74" s="182"/>
      <c r="Z74" s="182"/>
      <c r="AA74" s="181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28"/>
    </row>
    <row r="75" spans="1:44" customFormat="1" ht="19.5" customHeight="1" x14ac:dyDescent="0.2">
      <c r="A75" s="341" t="str">
        <f>A117</f>
        <v>T1 Tree Planting - Large Tree</v>
      </c>
      <c r="B75" s="343" t="s">
        <v>199</v>
      </c>
      <c r="C75" s="344"/>
      <c r="D75" s="344"/>
      <c r="E75" s="344"/>
      <c r="F75" s="345"/>
      <c r="G75" s="349"/>
      <c r="H75" s="351" t="s">
        <v>11</v>
      </c>
      <c r="I75" s="353" t="s">
        <v>78</v>
      </c>
      <c r="J75" s="354"/>
      <c r="K75" s="357" t="s">
        <v>11</v>
      </c>
      <c r="L75" s="333" t="s">
        <v>11</v>
      </c>
      <c r="M75" s="333" t="s">
        <v>11</v>
      </c>
      <c r="N75" s="328" t="s">
        <v>11</v>
      </c>
      <c r="O75" s="328" t="s">
        <v>11</v>
      </c>
      <c r="P75" s="335">
        <f>10*G75</f>
        <v>0</v>
      </c>
      <c r="Q75" s="333" t="s">
        <v>11</v>
      </c>
      <c r="R75" s="328" t="s">
        <v>11</v>
      </c>
      <c r="S75" s="328" t="s">
        <v>11</v>
      </c>
      <c r="T75" s="330" t="str">
        <f>IF('Site Data'!$E$14="MS4",IF(F75&gt;0,IF(P75+IF(R75="N/A",0,R75)+IF(S75&lt;&gt;0,VLOOKUP(S75,$A$95:$B$120,2,FALSE),0)&gt;=G75,"Yes","No"),"N/A"),"N/A")</f>
        <v>N/A</v>
      </c>
      <c r="U75" s="26"/>
      <c r="V75" s="27"/>
      <c r="W75" s="180">
        <f t="shared" ref="W75:AQ75" si="23">IF($S75=W$30,$Q75,0)</f>
        <v>0</v>
      </c>
      <c r="X75" s="180">
        <f t="shared" si="17"/>
        <v>0</v>
      </c>
      <c r="Y75" s="180">
        <f t="shared" si="23"/>
        <v>0</v>
      </c>
      <c r="Z75" s="180">
        <f t="shared" si="23"/>
        <v>0</v>
      </c>
      <c r="AA75" s="180">
        <f t="shared" si="17"/>
        <v>0</v>
      </c>
      <c r="AB75" s="180">
        <f t="shared" si="23"/>
        <v>0</v>
      </c>
      <c r="AC75" s="180">
        <f t="shared" si="23"/>
        <v>0</v>
      </c>
      <c r="AD75" s="180">
        <f t="shared" si="23"/>
        <v>0</v>
      </c>
      <c r="AE75" s="180">
        <f t="shared" si="23"/>
        <v>0</v>
      </c>
      <c r="AF75" s="180">
        <f t="shared" si="23"/>
        <v>0</v>
      </c>
      <c r="AG75" s="180">
        <f t="shared" si="23"/>
        <v>0</v>
      </c>
      <c r="AH75" s="180">
        <f t="shared" si="23"/>
        <v>0</v>
      </c>
      <c r="AI75" s="180">
        <f t="shared" si="23"/>
        <v>0</v>
      </c>
      <c r="AJ75" s="180">
        <f t="shared" si="23"/>
        <v>0</v>
      </c>
      <c r="AK75" s="180">
        <f t="shared" si="23"/>
        <v>0</v>
      </c>
      <c r="AL75" s="180">
        <f t="shared" si="23"/>
        <v>0</v>
      </c>
      <c r="AM75" s="180">
        <f t="shared" si="23"/>
        <v>0</v>
      </c>
      <c r="AN75" s="180">
        <f t="shared" si="23"/>
        <v>0</v>
      </c>
      <c r="AO75" s="180">
        <f t="shared" si="23"/>
        <v>0</v>
      </c>
      <c r="AP75" s="180">
        <f t="shared" si="23"/>
        <v>0</v>
      </c>
      <c r="AQ75" s="180">
        <f t="shared" si="23"/>
        <v>0</v>
      </c>
      <c r="AR75" s="28"/>
    </row>
    <row r="76" spans="1:44" customFormat="1" ht="19.5" customHeight="1" thickBot="1" x14ac:dyDescent="0.25">
      <c r="A76" s="342"/>
      <c r="B76" s="346"/>
      <c r="C76" s="347"/>
      <c r="D76" s="347"/>
      <c r="E76" s="347"/>
      <c r="F76" s="348"/>
      <c r="G76" s="350"/>
      <c r="H76" s="352"/>
      <c r="I76" s="355"/>
      <c r="J76" s="356"/>
      <c r="K76" s="358"/>
      <c r="L76" s="334"/>
      <c r="M76" s="334"/>
      <c r="N76" s="329"/>
      <c r="O76" s="329"/>
      <c r="P76" s="336"/>
      <c r="Q76" s="334"/>
      <c r="R76" s="329"/>
      <c r="S76" s="329"/>
      <c r="T76" s="331"/>
      <c r="U76" s="26"/>
      <c r="V76" s="27"/>
      <c r="W76" s="182"/>
      <c r="X76" s="181"/>
      <c r="Y76" s="182"/>
      <c r="Z76" s="182"/>
      <c r="AA76" s="181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28"/>
    </row>
    <row r="77" spans="1:44" customFormat="1" ht="19.5" customHeight="1" x14ac:dyDescent="0.2">
      <c r="A77" s="341" t="str">
        <f>A118</f>
        <v>T2 Tree Preservation - Small Tree</v>
      </c>
      <c r="B77" s="343" t="s">
        <v>195</v>
      </c>
      <c r="C77" s="344"/>
      <c r="D77" s="344"/>
      <c r="E77" s="344"/>
      <c r="F77" s="345"/>
      <c r="G77" s="349"/>
      <c r="H77" s="351" t="s">
        <v>11</v>
      </c>
      <c r="I77" s="359" t="s">
        <v>78</v>
      </c>
      <c r="J77" s="354"/>
      <c r="K77" s="357" t="s">
        <v>11</v>
      </c>
      <c r="L77" s="333" t="s">
        <v>11</v>
      </c>
      <c r="M77" s="333" t="s">
        <v>11</v>
      </c>
      <c r="N77" s="328" t="s">
        <v>11</v>
      </c>
      <c r="O77" s="328" t="s">
        <v>11</v>
      </c>
      <c r="P77" s="335">
        <f>10*G77</f>
        <v>0</v>
      </c>
      <c r="Q77" s="333" t="s">
        <v>11</v>
      </c>
      <c r="R77" s="328" t="s">
        <v>11</v>
      </c>
      <c r="S77" s="328" t="s">
        <v>11</v>
      </c>
      <c r="T77" s="330" t="str">
        <f>IF('Site Data'!$E$14="MS4",IF(F77&gt;0,IF(P77+IF(R77="N/A",0,R77)+IF(S77&lt;&gt;0,VLOOKUP(S77,$A$95:$B$120,2,FALSE),0)&gt;=G77,"Yes","No"),"N/A"),"N/A")</f>
        <v>N/A</v>
      </c>
      <c r="U77" s="26"/>
      <c r="V77" s="27"/>
      <c r="W77" s="180">
        <f t="shared" ref="W77:AQ77" si="24">IF($S77=W$30,$Q77,0)</f>
        <v>0</v>
      </c>
      <c r="X77" s="180">
        <f t="shared" si="17"/>
        <v>0</v>
      </c>
      <c r="Y77" s="180">
        <f t="shared" si="24"/>
        <v>0</v>
      </c>
      <c r="Z77" s="180">
        <f t="shared" si="24"/>
        <v>0</v>
      </c>
      <c r="AA77" s="180">
        <f t="shared" si="17"/>
        <v>0</v>
      </c>
      <c r="AB77" s="180">
        <f t="shared" si="24"/>
        <v>0</v>
      </c>
      <c r="AC77" s="180">
        <f t="shared" si="24"/>
        <v>0</v>
      </c>
      <c r="AD77" s="180">
        <f t="shared" si="24"/>
        <v>0</v>
      </c>
      <c r="AE77" s="180">
        <f t="shared" si="24"/>
        <v>0</v>
      </c>
      <c r="AF77" s="180">
        <f t="shared" si="24"/>
        <v>0</v>
      </c>
      <c r="AG77" s="180">
        <f t="shared" si="24"/>
        <v>0</v>
      </c>
      <c r="AH77" s="180">
        <f t="shared" si="24"/>
        <v>0</v>
      </c>
      <c r="AI77" s="180">
        <f t="shared" si="24"/>
        <v>0</v>
      </c>
      <c r="AJ77" s="180">
        <f t="shared" si="24"/>
        <v>0</v>
      </c>
      <c r="AK77" s="180">
        <f t="shared" si="24"/>
        <v>0</v>
      </c>
      <c r="AL77" s="180">
        <f t="shared" si="24"/>
        <v>0</v>
      </c>
      <c r="AM77" s="180">
        <f t="shared" si="24"/>
        <v>0</v>
      </c>
      <c r="AN77" s="180">
        <f t="shared" si="24"/>
        <v>0</v>
      </c>
      <c r="AO77" s="180">
        <f t="shared" si="24"/>
        <v>0</v>
      </c>
      <c r="AP77" s="180">
        <f t="shared" si="24"/>
        <v>0</v>
      </c>
      <c r="AQ77" s="180">
        <f t="shared" si="24"/>
        <v>0</v>
      </c>
      <c r="AR77" s="28"/>
    </row>
    <row r="78" spans="1:44" customFormat="1" ht="19.5" customHeight="1" thickBot="1" x14ac:dyDescent="0.25">
      <c r="A78" s="342"/>
      <c r="B78" s="346"/>
      <c r="C78" s="347"/>
      <c r="D78" s="347"/>
      <c r="E78" s="347"/>
      <c r="F78" s="348"/>
      <c r="G78" s="350"/>
      <c r="H78" s="352"/>
      <c r="I78" s="355"/>
      <c r="J78" s="356"/>
      <c r="K78" s="358"/>
      <c r="L78" s="334"/>
      <c r="M78" s="334"/>
      <c r="N78" s="329"/>
      <c r="O78" s="329"/>
      <c r="P78" s="336"/>
      <c r="Q78" s="334"/>
      <c r="R78" s="329"/>
      <c r="S78" s="329"/>
      <c r="T78" s="331"/>
      <c r="U78" s="26"/>
      <c r="V78" s="27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28"/>
    </row>
    <row r="79" spans="1:44" customFormat="1" ht="19.5" customHeight="1" x14ac:dyDescent="0.2">
      <c r="A79" s="341" t="str">
        <f>A119</f>
        <v>T2 Tree Preservation - Large Tree</v>
      </c>
      <c r="B79" s="343" t="s">
        <v>196</v>
      </c>
      <c r="C79" s="344"/>
      <c r="D79" s="344"/>
      <c r="E79" s="344"/>
      <c r="F79" s="345"/>
      <c r="G79" s="349"/>
      <c r="H79" s="351" t="s">
        <v>11</v>
      </c>
      <c r="I79" s="353" t="s">
        <v>77</v>
      </c>
      <c r="J79" s="354"/>
      <c r="K79" s="357" t="s">
        <v>11</v>
      </c>
      <c r="L79" s="333" t="s">
        <v>11</v>
      </c>
      <c r="M79" s="333" t="s">
        <v>11</v>
      </c>
      <c r="N79" s="328" t="s">
        <v>11</v>
      </c>
      <c r="O79" s="328" t="s">
        <v>11</v>
      </c>
      <c r="P79" s="335">
        <f>20*G79</f>
        <v>0</v>
      </c>
      <c r="Q79" s="333" t="s">
        <v>11</v>
      </c>
      <c r="R79" s="328" t="s">
        <v>11</v>
      </c>
      <c r="S79" s="328" t="s">
        <v>11</v>
      </c>
      <c r="T79" s="330" t="str">
        <f>IF('Site Data'!$E$14="MS4",IF(F79&gt;0,IF(P79+IF(R79="N/A",0,R79)+IF(S79&lt;&gt;0,VLOOKUP(S79,$A$95:$B$120,2,FALSE),0)&gt;=G79,"Yes","No"),"N/A"),"N/A")</f>
        <v>N/A</v>
      </c>
      <c r="U79" s="26"/>
      <c r="V79" s="27"/>
      <c r="W79" s="180">
        <f t="shared" ref="W79:AQ81" si="25">IF($S79=W$30,$Q79,0)</f>
        <v>0</v>
      </c>
      <c r="X79" s="180">
        <f t="shared" si="25"/>
        <v>0</v>
      </c>
      <c r="Y79" s="180">
        <f t="shared" si="25"/>
        <v>0</v>
      </c>
      <c r="Z79" s="180">
        <f t="shared" si="25"/>
        <v>0</v>
      </c>
      <c r="AA79" s="180">
        <f t="shared" si="25"/>
        <v>0</v>
      </c>
      <c r="AB79" s="180">
        <f t="shared" si="25"/>
        <v>0</v>
      </c>
      <c r="AC79" s="180">
        <f t="shared" si="25"/>
        <v>0</v>
      </c>
      <c r="AD79" s="180">
        <f t="shared" si="25"/>
        <v>0</v>
      </c>
      <c r="AE79" s="180">
        <f t="shared" si="25"/>
        <v>0</v>
      </c>
      <c r="AF79" s="180">
        <f t="shared" si="25"/>
        <v>0</v>
      </c>
      <c r="AG79" s="180">
        <f t="shared" si="25"/>
        <v>0</v>
      </c>
      <c r="AH79" s="180">
        <f t="shared" si="25"/>
        <v>0</v>
      </c>
      <c r="AI79" s="180">
        <f t="shared" si="25"/>
        <v>0</v>
      </c>
      <c r="AJ79" s="180">
        <f t="shared" si="25"/>
        <v>0</v>
      </c>
      <c r="AK79" s="180">
        <f t="shared" si="25"/>
        <v>0</v>
      </c>
      <c r="AL79" s="180">
        <f t="shared" si="25"/>
        <v>0</v>
      </c>
      <c r="AM79" s="180">
        <f t="shared" si="25"/>
        <v>0</v>
      </c>
      <c r="AN79" s="180">
        <f t="shared" si="25"/>
        <v>0</v>
      </c>
      <c r="AO79" s="180">
        <f t="shared" si="25"/>
        <v>0</v>
      </c>
      <c r="AP79" s="180">
        <f t="shared" si="25"/>
        <v>0</v>
      </c>
      <c r="AQ79" s="180">
        <f t="shared" si="25"/>
        <v>0</v>
      </c>
      <c r="AR79" s="28"/>
    </row>
    <row r="80" spans="1:44" customFormat="1" ht="19.5" customHeight="1" thickBot="1" x14ac:dyDescent="0.25">
      <c r="A80" s="342"/>
      <c r="B80" s="346"/>
      <c r="C80" s="347"/>
      <c r="D80" s="347"/>
      <c r="E80" s="347"/>
      <c r="F80" s="348"/>
      <c r="G80" s="350"/>
      <c r="H80" s="352"/>
      <c r="I80" s="355"/>
      <c r="J80" s="356"/>
      <c r="K80" s="358"/>
      <c r="L80" s="334"/>
      <c r="M80" s="334"/>
      <c r="N80" s="329"/>
      <c r="O80" s="329"/>
      <c r="P80" s="336"/>
      <c r="Q80" s="334"/>
      <c r="R80" s="329"/>
      <c r="S80" s="329"/>
      <c r="T80" s="331"/>
      <c r="U80" s="26"/>
      <c r="V80" s="27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28"/>
    </row>
    <row r="81" spans="1:44" customFormat="1" ht="19.5" customHeight="1" x14ac:dyDescent="0.2">
      <c r="A81" s="341" t="str">
        <f>A120</f>
        <v>T2 Tree Preservation - Special/Heritage Tree</v>
      </c>
      <c r="B81" s="343" t="s">
        <v>197</v>
      </c>
      <c r="C81" s="344"/>
      <c r="D81" s="344"/>
      <c r="E81" s="344"/>
      <c r="F81" s="345"/>
      <c r="G81" s="349"/>
      <c r="H81" s="351" t="s">
        <v>11</v>
      </c>
      <c r="I81" s="359" t="s">
        <v>200</v>
      </c>
      <c r="J81" s="354"/>
      <c r="K81" s="357" t="s">
        <v>11</v>
      </c>
      <c r="L81" s="333" t="s">
        <v>11</v>
      </c>
      <c r="M81" s="333" t="s">
        <v>11</v>
      </c>
      <c r="N81" s="328" t="s">
        <v>11</v>
      </c>
      <c r="O81" s="328" t="s">
        <v>11</v>
      </c>
      <c r="P81" s="335">
        <f>40*G81</f>
        <v>0</v>
      </c>
      <c r="Q81" s="333" t="s">
        <v>11</v>
      </c>
      <c r="R81" s="328" t="s">
        <v>11</v>
      </c>
      <c r="S81" s="328" t="s">
        <v>11</v>
      </c>
      <c r="T81" s="330" t="str">
        <f>IF('Site Data'!$E$14="MS4",IF(F81&gt;0,IF(P81+IF(R81="N/A",0,R81)+IF(S81&lt;&gt;0,VLOOKUP(S81,$A$95:$B$120,2,FALSE),0)&gt;=G81,"Yes","No"),"N/A"),"N/A")</f>
        <v>N/A</v>
      </c>
      <c r="U81" s="26"/>
      <c r="V81" s="27"/>
      <c r="W81" s="180">
        <f t="shared" ref="W81:AQ81" si="26">IF($S81=W$30,$Q81,0)</f>
        <v>0</v>
      </c>
      <c r="X81" s="180">
        <f t="shared" si="25"/>
        <v>0</v>
      </c>
      <c r="Y81" s="180">
        <f t="shared" si="26"/>
        <v>0</v>
      </c>
      <c r="Z81" s="180">
        <f t="shared" si="26"/>
        <v>0</v>
      </c>
      <c r="AA81" s="180">
        <f t="shared" si="25"/>
        <v>0</v>
      </c>
      <c r="AB81" s="180">
        <f t="shared" si="26"/>
        <v>0</v>
      </c>
      <c r="AC81" s="180">
        <f t="shared" si="26"/>
        <v>0</v>
      </c>
      <c r="AD81" s="180">
        <f t="shared" si="26"/>
        <v>0</v>
      </c>
      <c r="AE81" s="180">
        <f t="shared" si="26"/>
        <v>0</v>
      </c>
      <c r="AF81" s="180">
        <f t="shared" si="26"/>
        <v>0</v>
      </c>
      <c r="AG81" s="180">
        <f t="shared" si="26"/>
        <v>0</v>
      </c>
      <c r="AH81" s="180">
        <f t="shared" si="26"/>
        <v>0</v>
      </c>
      <c r="AI81" s="180">
        <f t="shared" si="26"/>
        <v>0</v>
      </c>
      <c r="AJ81" s="180">
        <f t="shared" si="26"/>
        <v>0</v>
      </c>
      <c r="AK81" s="180">
        <f t="shared" si="26"/>
        <v>0</v>
      </c>
      <c r="AL81" s="180">
        <f t="shared" si="26"/>
        <v>0</v>
      </c>
      <c r="AM81" s="180">
        <f t="shared" si="26"/>
        <v>0</v>
      </c>
      <c r="AN81" s="180">
        <f t="shared" si="26"/>
        <v>0</v>
      </c>
      <c r="AO81" s="180">
        <f t="shared" si="26"/>
        <v>0</v>
      </c>
      <c r="AP81" s="180">
        <f t="shared" si="26"/>
        <v>0</v>
      </c>
      <c r="AQ81" s="180">
        <f t="shared" si="26"/>
        <v>0</v>
      </c>
      <c r="AR81" s="28"/>
    </row>
    <row r="82" spans="1:44" customFormat="1" ht="19.5" customHeight="1" thickBot="1" x14ac:dyDescent="0.25">
      <c r="A82" s="342"/>
      <c r="B82" s="346"/>
      <c r="C82" s="347"/>
      <c r="D82" s="347"/>
      <c r="E82" s="347"/>
      <c r="F82" s="348"/>
      <c r="G82" s="350"/>
      <c r="H82" s="352"/>
      <c r="I82" s="355"/>
      <c r="J82" s="356"/>
      <c r="K82" s="358"/>
      <c r="L82" s="334"/>
      <c r="M82" s="334"/>
      <c r="N82" s="329"/>
      <c r="O82" s="329"/>
      <c r="P82" s="336"/>
      <c r="Q82" s="334"/>
      <c r="R82" s="329"/>
      <c r="S82" s="329"/>
      <c r="T82" s="331"/>
      <c r="U82" s="26"/>
      <c r="V82" s="27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28"/>
    </row>
    <row r="83" spans="1:44" customFormat="1" x14ac:dyDescent="0.2">
      <c r="A83" s="104"/>
      <c r="B83" s="3"/>
      <c r="C83" s="89"/>
      <c r="D83" s="3"/>
      <c r="E83" s="89"/>
      <c r="F83" s="89"/>
      <c r="G83" s="89"/>
      <c r="H83" s="123"/>
      <c r="I83" s="45"/>
      <c r="J83" s="2"/>
      <c r="K83" s="2"/>
      <c r="L83" s="136"/>
      <c r="M83" s="89"/>
      <c r="N83" s="3"/>
      <c r="O83" s="89"/>
      <c r="P83" s="89"/>
      <c r="Q83" s="123"/>
      <c r="R83" s="123"/>
      <c r="S83" s="3"/>
      <c r="T83" s="3"/>
      <c r="U83" s="3"/>
      <c r="V83" s="2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7" customFormat="1" x14ac:dyDescent="0.2">
      <c r="A84" s="305" t="s">
        <v>3</v>
      </c>
      <c r="B84" s="87"/>
      <c r="C84" s="214">
        <f>SUM(C31:C72)</f>
        <v>0</v>
      </c>
      <c r="D84" s="87"/>
      <c r="E84" s="214">
        <f>SUM(E31:E72)</f>
        <v>0</v>
      </c>
      <c r="F84" s="214">
        <f>SUM(F31:F72)</f>
        <v>0</v>
      </c>
      <c r="G84" s="288"/>
      <c r="H84" s="214">
        <f>SUM(H31:H72)</f>
        <v>0</v>
      </c>
      <c r="I84" s="45"/>
      <c r="J84" s="40"/>
      <c r="K84" s="114"/>
      <c r="M84" s="332" t="s">
        <v>111</v>
      </c>
      <c r="N84" s="332"/>
      <c r="O84" s="332"/>
      <c r="P84" s="214">
        <f>SUM(P31:P82)</f>
        <v>0</v>
      </c>
      <c r="Q84" s="125"/>
      <c r="R84" s="213"/>
      <c r="S84" s="166" t="s">
        <v>81</v>
      </c>
      <c r="T84" s="214">
        <f>SUM(R33:R72)</f>
        <v>0</v>
      </c>
      <c r="U84" s="26"/>
      <c r="V84" s="3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x14ac:dyDescent="0.2">
      <c r="A85" s="44"/>
      <c r="B85" s="150"/>
      <c r="C85" s="45"/>
      <c r="D85" s="150"/>
      <c r="E85" s="45"/>
      <c r="F85" s="45"/>
      <c r="G85" s="45"/>
      <c r="H85" s="107"/>
      <c r="I85" s="61"/>
      <c r="J85" s="3"/>
      <c r="K85" s="3"/>
      <c r="L85" s="89"/>
      <c r="N85" s="2"/>
      <c r="O85" s="89"/>
      <c r="P85" s="89"/>
      <c r="Q85" s="126"/>
      <c r="R85" s="126"/>
      <c r="T85" s="3"/>
      <c r="U85" s="3"/>
      <c r="V85" s="30" t="s">
        <v>3</v>
      </c>
      <c r="W85" s="30">
        <f t="shared" ref="W85:AO85" si="27">SUM(W30:W84)</f>
        <v>0</v>
      </c>
      <c r="X85" s="30">
        <f t="shared" si="27"/>
        <v>0</v>
      </c>
      <c r="Y85" s="30">
        <f t="shared" si="27"/>
        <v>0</v>
      </c>
      <c r="Z85" s="30">
        <f t="shared" si="27"/>
        <v>0</v>
      </c>
      <c r="AA85" s="30">
        <f t="shared" si="27"/>
        <v>0</v>
      </c>
      <c r="AB85" s="30">
        <f t="shared" si="27"/>
        <v>0</v>
      </c>
      <c r="AC85" s="30">
        <f t="shared" si="27"/>
        <v>0</v>
      </c>
      <c r="AD85" s="30">
        <f t="shared" si="27"/>
        <v>0</v>
      </c>
      <c r="AE85" s="30">
        <f t="shared" si="27"/>
        <v>0</v>
      </c>
      <c r="AF85" s="30">
        <f t="shared" si="27"/>
        <v>0</v>
      </c>
      <c r="AG85" s="30">
        <f t="shared" si="27"/>
        <v>0</v>
      </c>
      <c r="AH85" s="30">
        <f t="shared" si="27"/>
        <v>0</v>
      </c>
      <c r="AI85" s="30">
        <f t="shared" si="27"/>
        <v>0</v>
      </c>
      <c r="AJ85" s="30">
        <f t="shared" si="27"/>
        <v>0</v>
      </c>
      <c r="AK85" s="30">
        <f t="shared" si="27"/>
        <v>0</v>
      </c>
      <c r="AL85" s="30">
        <f t="shared" si="27"/>
        <v>0</v>
      </c>
      <c r="AM85" s="30">
        <f t="shared" si="27"/>
        <v>0</v>
      </c>
      <c r="AN85" s="30">
        <f t="shared" si="27"/>
        <v>0</v>
      </c>
      <c r="AO85" s="30">
        <f t="shared" si="27"/>
        <v>0</v>
      </c>
      <c r="AP85" s="30">
        <f>SUM(AP30:AP84)</f>
        <v>0</v>
      </c>
      <c r="AQ85" s="30">
        <f>SUM(AQ30:AQ84)</f>
        <v>0</v>
      </c>
      <c r="AR85" s="28"/>
    </row>
    <row r="86" spans="1:44" ht="65.25" customHeight="1" x14ac:dyDescent="0.2">
      <c r="A86" s="44"/>
      <c r="B86" s="150"/>
      <c r="C86" s="45"/>
      <c r="D86" s="150"/>
      <c r="E86" s="45"/>
      <c r="F86" s="45"/>
      <c r="G86" s="45"/>
      <c r="H86" s="107"/>
      <c r="I86" s="62"/>
      <c r="J86" s="3"/>
      <c r="K86" s="3"/>
      <c r="L86" s="89"/>
      <c r="M86" s="325" t="s">
        <v>49</v>
      </c>
      <c r="N86" s="326"/>
      <c r="O86" s="327"/>
      <c r="P86" s="303">
        <f>IF(G20-P84&gt;0,G20-P84,0)</f>
        <v>0</v>
      </c>
      <c r="Q86" s="218"/>
      <c r="R86" s="219"/>
      <c r="S86" s="220" t="s">
        <v>122</v>
      </c>
      <c r="T86" s="303">
        <f>IF(P91="Yes",IF(G20*0.5-T84-P84&gt;0,G20*0.5-T84-P84,0),0)</f>
        <v>0</v>
      </c>
      <c r="U86" s="219"/>
      <c r="V86" s="30"/>
      <c r="Y86" s="4"/>
      <c r="Z86" s="4"/>
      <c r="AA86" s="4"/>
      <c r="AB86" s="4"/>
      <c r="AC86" s="4"/>
      <c r="AD86" s="4"/>
      <c r="AG86" s="2"/>
      <c r="AH86" s="2"/>
      <c r="AQ86" s="28"/>
      <c r="AR86" s="28"/>
    </row>
    <row r="87" spans="1:44" ht="63.75" x14ac:dyDescent="0.2">
      <c r="A87" s="13"/>
      <c r="B87" s="151"/>
      <c r="C87" s="51"/>
      <c r="D87" s="151"/>
      <c r="E87" s="51"/>
      <c r="F87" s="51"/>
      <c r="G87" s="51"/>
      <c r="H87" s="107"/>
      <c r="I87" s="27"/>
      <c r="J87" s="3"/>
      <c r="K87" s="3"/>
      <c r="L87" s="89"/>
      <c r="M87" s="325" t="s">
        <v>79</v>
      </c>
      <c r="N87" s="326"/>
      <c r="O87" s="327"/>
      <c r="P87" s="303">
        <f>IF(G20-P84&gt;0,(G20-P84)*7.48,0)</f>
        <v>0</v>
      </c>
      <c r="Q87" s="337" t="str">
        <f>IF('Site Data'!E13="No",IF(P87=0,"Congratulations!! You have exceeded the required SWRv by "&amp;ROUND((P84-G20)*7.48,0)&amp;" gallons which may be able to be used to generate SRCs.","Off Site Retention may be needed."), IF(P87=0,"Congratulations!! You have exceeded the required SWRv by "&amp;ROUND((P84-G20)*7.48,0)&amp;" gallons which contributes to meeting WQTv requirements.","Off Site Retention may be needed."))</f>
        <v>Congratulations!! You have exceeded the required SWRv by 0 gallons which contributes to meeting WQTv requirements.</v>
      </c>
      <c r="R87" s="337"/>
      <c r="S87" s="220" t="s">
        <v>123</v>
      </c>
      <c r="T87" s="303">
        <f>T86*7.48</f>
        <v>0</v>
      </c>
      <c r="U87" s="303" t="str">
        <f>IF($P$91="Yes",IF(T86=0,"You have met the required treatment volume.",""),"")</f>
        <v/>
      </c>
      <c r="V87" s="30"/>
      <c r="Y87" s="4"/>
      <c r="Z87" s="4"/>
      <c r="AA87" s="4"/>
      <c r="AB87" s="4"/>
      <c r="AC87" s="4"/>
      <c r="AD87" s="4"/>
      <c r="AG87" s="2"/>
      <c r="AH87" s="2"/>
      <c r="AQ87" s="28"/>
      <c r="AR87" s="28"/>
    </row>
    <row r="88" spans="1:44" x14ac:dyDescent="0.2">
      <c r="A88" s="42"/>
      <c r="B88" s="152"/>
      <c r="C88" s="42"/>
      <c r="D88" s="152"/>
      <c r="E88" s="42"/>
      <c r="F88" s="42"/>
      <c r="G88" s="42"/>
      <c r="H88" s="130"/>
      <c r="I88" s="3"/>
      <c r="J88" s="3"/>
      <c r="K88" s="3"/>
      <c r="L88" s="89"/>
      <c r="M88" s="221"/>
      <c r="N88" s="222"/>
      <c r="O88" s="221"/>
      <c r="P88" s="221"/>
      <c r="Q88" s="221"/>
      <c r="R88" s="221"/>
      <c r="S88" s="222"/>
      <c r="T88" s="222"/>
      <c r="U88" s="222"/>
      <c r="V88" s="3"/>
      <c r="Y88" s="4"/>
      <c r="Z88" s="4"/>
      <c r="AA88" s="4"/>
      <c r="AB88" s="4"/>
      <c r="AC88" s="4"/>
      <c r="AD88" s="4"/>
      <c r="AG88" s="2"/>
      <c r="AH88" s="2"/>
      <c r="AQ88" s="28"/>
      <c r="AR88" s="28"/>
    </row>
    <row r="89" spans="1:44" ht="63.75" customHeight="1" x14ac:dyDescent="0.2">
      <c r="A89" s="42"/>
      <c r="B89" s="152"/>
      <c r="C89" s="42"/>
      <c r="D89" s="152"/>
      <c r="E89" s="42"/>
      <c r="F89" s="42"/>
      <c r="G89" s="42"/>
      <c r="H89" s="130"/>
      <c r="I89" s="3"/>
      <c r="J89" s="3"/>
      <c r="K89" s="3"/>
      <c r="L89" s="89"/>
      <c r="M89" s="325" t="s">
        <v>65</v>
      </c>
      <c r="N89" s="326"/>
      <c r="O89" s="327"/>
      <c r="P89" s="223" t="str">
        <f>IF('Site Data'!$E$14="MS4",IF(P84&gt;=0.5*G20,"Yes", "No"),"N/A")</f>
        <v>N/A</v>
      </c>
      <c r="Q89" s="224"/>
      <c r="R89" s="221"/>
      <c r="S89" s="220" t="s">
        <v>124</v>
      </c>
      <c r="T89" s="303" t="str">
        <f>IF('Site Data'!E13="Yes",IF(G25-T84-IF(P84&gt;G20,P84-G20,0)&gt;0,G25-T84-IF(P84&gt;G20,P84-G20,0),0),"N/A")</f>
        <v>N/A</v>
      </c>
      <c r="U89" s="303" t="str">
        <f>IF(T89=0,"You have met the required treatment volume.","")</f>
        <v/>
      </c>
      <c r="V89" s="3"/>
      <c r="Y89" s="4"/>
      <c r="Z89" s="4"/>
      <c r="AA89" s="4"/>
      <c r="AB89" s="4"/>
      <c r="AC89" s="4"/>
      <c r="AD89" s="4"/>
      <c r="AG89" s="2"/>
      <c r="AH89" s="2"/>
      <c r="AQ89" s="28"/>
      <c r="AR89" s="28"/>
    </row>
    <row r="90" spans="1:44" ht="51" x14ac:dyDescent="0.2">
      <c r="B90" s="150"/>
      <c r="C90" s="45"/>
      <c r="D90" s="150"/>
      <c r="E90" s="45"/>
      <c r="F90" s="45"/>
      <c r="G90" s="45"/>
      <c r="H90" s="107"/>
      <c r="J90" s="27"/>
      <c r="K90" s="27"/>
      <c r="L90" s="216"/>
      <c r="M90" s="338" t="s">
        <v>113</v>
      </c>
      <c r="N90" s="339"/>
      <c r="O90" s="340"/>
      <c r="P90" s="303" t="str">
        <f>IF('Site Data'!$E$14="MS4",IF(AND(F84&gt;=(B17+C17),COUNTIF(T31:T72,"No")=0),"Yes","No"),"N/A")</f>
        <v>N/A</v>
      </c>
      <c r="Q90" s="224"/>
      <c r="R90" s="221"/>
      <c r="S90" s="220" t="s">
        <v>125</v>
      </c>
      <c r="T90" s="303" t="str">
        <f>IF(T89="N/A","N/A",T89*7.48)</f>
        <v>N/A</v>
      </c>
      <c r="U90" s="303" t="str">
        <f>IF(T90="N/A","",IF(T90&gt;0,"Off Site Retention may be needed.",""))</f>
        <v/>
      </c>
      <c r="V90" s="3"/>
      <c r="Y90" s="4"/>
      <c r="Z90" s="4"/>
      <c r="AA90" s="4"/>
      <c r="AB90" s="4"/>
      <c r="AC90" s="4"/>
      <c r="AD90" s="4"/>
      <c r="AG90" s="2"/>
      <c r="AH90" s="2"/>
      <c r="AQ90" s="28"/>
      <c r="AR90" s="28"/>
    </row>
    <row r="91" spans="1:44" ht="14.25" customHeight="1" x14ac:dyDescent="0.2">
      <c r="B91" s="150"/>
      <c r="C91" s="45"/>
      <c r="D91" s="150"/>
      <c r="E91" s="45"/>
      <c r="F91" s="45"/>
      <c r="G91" s="45"/>
      <c r="H91" s="107"/>
      <c r="J91" s="27"/>
      <c r="K91" s="27"/>
      <c r="L91" s="108"/>
      <c r="M91" s="324" t="s">
        <v>80</v>
      </c>
      <c r="N91" s="324"/>
      <c r="O91" s="324"/>
      <c r="P91" s="303" t="str">
        <f>IF('Site Data'!$E$14&lt;&gt;"MS4","No",IF(P89="Yes","No","Yes"))</f>
        <v>No</v>
      </c>
      <c r="Q91" s="224"/>
      <c r="R91" s="221"/>
      <c r="S91" s="222"/>
      <c r="T91" s="222"/>
      <c r="U91" s="222"/>
      <c r="V91" s="3"/>
      <c r="Y91" s="4"/>
      <c r="Z91" s="4"/>
      <c r="AA91" s="4"/>
      <c r="AB91" s="4"/>
      <c r="AC91" s="4"/>
      <c r="AD91" s="4"/>
      <c r="AG91" s="2"/>
      <c r="AH91" s="2"/>
      <c r="AQ91" s="28"/>
      <c r="AR91" s="28"/>
    </row>
    <row r="92" spans="1:44" ht="12" customHeight="1" x14ac:dyDescent="0.2">
      <c r="B92" s="150"/>
      <c r="C92" s="45"/>
      <c r="D92" s="150"/>
      <c r="E92" s="45"/>
      <c r="F92" s="45"/>
      <c r="G92" s="45"/>
      <c r="H92" s="107"/>
      <c r="I92" s="76"/>
      <c r="J92" s="2"/>
      <c r="K92" s="2"/>
      <c r="L92" s="89"/>
      <c r="M92" s="221"/>
      <c r="N92" s="222"/>
      <c r="O92" s="221"/>
      <c r="P92" s="221"/>
      <c r="Q92" s="221"/>
      <c r="R92" s="221"/>
      <c r="S92" s="222"/>
      <c r="T92" s="222"/>
      <c r="U92" s="222"/>
      <c r="V92" s="3"/>
      <c r="Y92" s="4"/>
      <c r="Z92" s="4"/>
      <c r="AA92" s="4"/>
      <c r="AB92" s="4"/>
      <c r="AC92" s="4"/>
      <c r="AD92" s="4"/>
      <c r="AG92" s="2"/>
      <c r="AH92" s="2"/>
      <c r="AQ92" s="28"/>
      <c r="AR92" s="28"/>
    </row>
    <row r="93" spans="1:44" ht="12.75" customHeight="1" x14ac:dyDescent="0.2">
      <c r="B93" s="150"/>
      <c r="C93" s="45"/>
      <c r="D93" s="150"/>
      <c r="E93" s="45"/>
      <c r="F93" s="45"/>
      <c r="G93" s="45"/>
      <c r="H93" s="107"/>
      <c r="I93" s="76"/>
      <c r="J93" s="2"/>
      <c r="K93" s="2"/>
      <c r="L93" s="89"/>
      <c r="M93" s="324" t="s">
        <v>84</v>
      </c>
      <c r="N93" s="324"/>
      <c r="O93" s="324"/>
      <c r="P93" s="303" t="str">
        <f>IF(P90="No","No",IF(P91="No","Yes",IF(T86=0,"Yes","No")))</f>
        <v>Yes</v>
      </c>
      <c r="Q93" s="221"/>
      <c r="R93" s="221"/>
      <c r="S93" s="222"/>
      <c r="T93" s="222"/>
      <c r="U93" s="222"/>
      <c r="V93" s="3"/>
      <c r="Y93" s="4"/>
      <c r="Z93" s="4"/>
      <c r="AA93" s="4"/>
      <c r="AB93" s="4"/>
      <c r="AC93" s="4"/>
      <c r="AD93" s="4"/>
      <c r="AG93" s="2"/>
      <c r="AH93" s="2"/>
      <c r="AQ93" s="28"/>
      <c r="AR93" s="28"/>
    </row>
    <row r="94" spans="1:44" ht="12" hidden="1" customHeight="1" x14ac:dyDescent="0.2">
      <c r="A94" s="176" t="s">
        <v>17</v>
      </c>
      <c r="B94" s="150" t="s">
        <v>136</v>
      </c>
      <c r="C94" s="45"/>
      <c r="D94" s="150"/>
      <c r="E94" s="45"/>
      <c r="G94" s="76"/>
      <c r="K94" s="102"/>
      <c r="L94" s="142"/>
      <c r="M94" s="102"/>
      <c r="N94" s="102"/>
      <c r="O94" s="89"/>
      <c r="P94" s="89"/>
      <c r="T94" s="3"/>
      <c r="V94" s="4"/>
      <c r="W94" s="4"/>
      <c r="X94" s="4"/>
      <c r="Y94" s="4"/>
      <c r="Z94" s="4"/>
      <c r="AA94" s="4"/>
      <c r="AB94" s="4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4" ht="12" hidden="1" customHeight="1" x14ac:dyDescent="0.2">
      <c r="A95" s="209" t="s">
        <v>254</v>
      </c>
      <c r="B95" s="150">
        <f>P31+IF(R31="N/A",0,R31)</f>
        <v>0</v>
      </c>
      <c r="C95" s="45"/>
      <c r="D95" s="150"/>
      <c r="E95" s="45"/>
      <c r="F95" s="107"/>
      <c r="G95" s="76"/>
      <c r="H95" s="3"/>
      <c r="K95" s="154"/>
      <c r="L95" s="154"/>
      <c r="M95" s="154"/>
      <c r="N95" s="155"/>
      <c r="O95" s="89"/>
      <c r="P95" s="89"/>
      <c r="R95" s="76"/>
      <c r="S95" s="76"/>
      <c r="T95" s="3"/>
      <c r="V95" s="4"/>
      <c r="W95" s="4"/>
      <c r="X95" s="4"/>
      <c r="Y95" s="4"/>
      <c r="Z95" s="4"/>
      <c r="AA95" s="4"/>
      <c r="AB95" s="4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4" ht="12" hidden="1" customHeight="1" x14ac:dyDescent="0.2">
      <c r="A96" s="209" t="s">
        <v>255</v>
      </c>
      <c r="B96" s="150">
        <f>P33+IF(R33="N/A",0,R33)</f>
        <v>0</v>
      </c>
      <c r="C96" s="45"/>
      <c r="D96" s="150"/>
      <c r="E96" s="45"/>
      <c r="F96" s="107"/>
      <c r="G96" s="76"/>
      <c r="H96" s="3"/>
      <c r="K96" s="154"/>
      <c r="L96" s="154"/>
      <c r="M96" s="154"/>
      <c r="N96" s="155"/>
      <c r="O96" s="89"/>
      <c r="P96" s="89"/>
      <c r="R96" s="76"/>
      <c r="S96" s="76"/>
      <c r="T96" s="3"/>
      <c r="V96" s="4"/>
      <c r="W96" s="4"/>
      <c r="X96" s="4"/>
      <c r="Y96" s="4"/>
      <c r="Z96" s="4"/>
      <c r="AA96" s="4"/>
      <c r="AB96" s="4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" hidden="1" customHeight="1" x14ac:dyDescent="0.2">
      <c r="A97" s="209" t="s">
        <v>44</v>
      </c>
      <c r="B97" s="150">
        <f>P35+IF(R35="N/A",0,R35)</f>
        <v>0</v>
      </c>
      <c r="C97" s="45"/>
      <c r="D97" s="150"/>
      <c r="E97" s="45"/>
      <c r="F97" s="107"/>
      <c r="G97" s="76"/>
      <c r="H97" s="3"/>
      <c r="N97" s="127"/>
      <c r="O97" s="89"/>
      <c r="P97" s="89"/>
      <c r="R97" s="76"/>
      <c r="S97" s="76"/>
      <c r="T97" s="3"/>
      <c r="V97" s="4"/>
      <c r="W97" s="4"/>
      <c r="X97" s="4"/>
      <c r="Y97" s="4"/>
      <c r="Z97" s="4"/>
      <c r="AA97" s="4"/>
      <c r="AB97" s="4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" hidden="1" customHeight="1" x14ac:dyDescent="0.2">
      <c r="A98" s="209" t="s">
        <v>192</v>
      </c>
      <c r="B98" s="150">
        <f>P37+IF(R37="N/A",0,R37)</f>
        <v>0</v>
      </c>
      <c r="C98" s="45"/>
      <c r="D98" s="150"/>
      <c r="F98" s="107"/>
      <c r="G98" s="76"/>
      <c r="H98" s="3"/>
      <c r="N98" s="127"/>
      <c r="O98" s="89"/>
      <c r="P98" s="89"/>
      <c r="R98" s="76"/>
      <c r="S98" s="76"/>
      <c r="T98" s="3"/>
      <c r="V98" s="4"/>
      <c r="W98" s="4"/>
      <c r="X98" s="4"/>
      <c r="Y98" s="4"/>
      <c r="Z98" s="4"/>
      <c r="AA98" s="4"/>
      <c r="AB98" s="4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" hidden="1" customHeight="1" x14ac:dyDescent="0.2">
      <c r="A99" s="209" t="s">
        <v>193</v>
      </c>
      <c r="B99" s="150">
        <f>P38+IF(R38="N/A",0,R38)</f>
        <v>0</v>
      </c>
      <c r="C99" s="45"/>
      <c r="D99" s="150"/>
      <c r="F99" s="107"/>
      <c r="G99" s="76"/>
      <c r="H99" s="3"/>
      <c r="N99" s="127"/>
      <c r="O99" s="89"/>
      <c r="P99" s="89"/>
      <c r="R99" s="76"/>
      <c r="S99" s="76"/>
      <c r="T99" s="3"/>
      <c r="V99" s="4"/>
      <c r="W99" s="4"/>
      <c r="X99" s="4"/>
      <c r="Y99" s="4"/>
      <c r="Z99" s="4"/>
      <c r="AA99" s="4"/>
      <c r="AB99" s="4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" hidden="1" customHeight="1" x14ac:dyDescent="0.2">
      <c r="A100" s="163" t="s">
        <v>36</v>
      </c>
      <c r="B100" s="150">
        <f>P41+IF(R41="N/A",0,R41)</f>
        <v>0</v>
      </c>
      <c r="C100" s="45"/>
      <c r="D100" s="150"/>
      <c r="E100" s="45"/>
      <c r="F100" s="107"/>
      <c r="G100" s="76"/>
      <c r="H100" s="3"/>
      <c r="N100" s="127"/>
      <c r="O100" s="89"/>
      <c r="P100" s="89"/>
      <c r="R100" s="76"/>
      <c r="S100" s="76"/>
      <c r="T100" s="3"/>
      <c r="V100" s="4"/>
      <c r="W100" s="4"/>
      <c r="X100" s="4"/>
      <c r="Y100" s="4"/>
      <c r="Z100" s="4"/>
      <c r="AA100" s="4"/>
      <c r="AB100" s="4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" hidden="1" customHeight="1" x14ac:dyDescent="0.2">
      <c r="A101" s="163" t="s">
        <v>37</v>
      </c>
      <c r="B101" s="150">
        <f>P43+IF(R43="N/A",0,R43)</f>
        <v>0</v>
      </c>
      <c r="C101" s="45"/>
      <c r="D101" s="150"/>
      <c r="E101" s="45"/>
      <c r="F101" s="107"/>
      <c r="G101" s="76"/>
      <c r="H101" s="3"/>
      <c r="N101" s="127"/>
      <c r="O101" s="89"/>
      <c r="P101" s="89"/>
      <c r="R101" s="76"/>
      <c r="S101" s="76"/>
      <c r="T101" s="3"/>
      <c r="V101" s="4"/>
      <c r="W101" s="4"/>
      <c r="X101" s="4"/>
      <c r="Y101" s="4"/>
      <c r="Z101" s="4"/>
      <c r="AA101" s="4"/>
      <c r="AB101" s="4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" hidden="1" customHeight="1" x14ac:dyDescent="0.2">
      <c r="A102" s="209" t="s">
        <v>105</v>
      </c>
      <c r="B102" s="150">
        <f>P45+IF(R45="N/A",0,R45)</f>
        <v>0</v>
      </c>
      <c r="C102" s="45"/>
      <c r="D102" s="150"/>
      <c r="E102" s="45"/>
      <c r="F102" s="107"/>
      <c r="G102" s="76"/>
      <c r="H102" s="3"/>
      <c r="N102" s="127"/>
      <c r="O102" s="89"/>
      <c r="P102" s="89"/>
      <c r="R102" s="76"/>
      <c r="S102" s="76"/>
      <c r="T102" s="3"/>
      <c r="V102" s="4"/>
      <c r="W102" s="4"/>
      <c r="X102" s="4"/>
      <c r="Y102" s="4"/>
      <c r="Z102" s="4"/>
      <c r="AA102" s="4"/>
      <c r="AB102" s="4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" hidden="1" customHeight="1" x14ac:dyDescent="0.2">
      <c r="A103" s="208" t="s">
        <v>104</v>
      </c>
      <c r="B103" s="150">
        <f>P47+IF(R47="N/A",0,R47)</f>
        <v>0</v>
      </c>
      <c r="C103" s="45"/>
      <c r="D103" s="150"/>
      <c r="E103" s="45"/>
      <c r="F103" s="107"/>
      <c r="G103" s="76"/>
      <c r="H103" s="3"/>
      <c r="N103" s="127"/>
      <c r="O103" s="89"/>
      <c r="P103" s="89"/>
      <c r="R103" s="76"/>
      <c r="S103" s="76"/>
      <c r="T103" s="3"/>
      <c r="V103" s="4"/>
      <c r="W103" s="4"/>
      <c r="X103" s="4"/>
      <c r="Y103" s="4"/>
      <c r="Z103" s="4"/>
      <c r="AA103" s="4"/>
      <c r="AB103" s="4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" hidden="1" customHeight="1" x14ac:dyDescent="0.2">
      <c r="A104" s="75" t="s">
        <v>50</v>
      </c>
      <c r="B104" s="150">
        <f>P49+IF(R49="N/A",0,R49)</f>
        <v>0</v>
      </c>
      <c r="C104" s="45"/>
      <c r="D104" s="150"/>
      <c r="E104" s="45"/>
      <c r="F104" s="107"/>
      <c r="G104" s="76"/>
      <c r="H104" s="3"/>
      <c r="N104" s="127"/>
      <c r="O104" s="89"/>
      <c r="P104" s="89"/>
      <c r="R104" s="76"/>
      <c r="S104" s="76"/>
      <c r="T104" s="3"/>
      <c r="V104" s="4"/>
      <c r="W104" s="4"/>
      <c r="X104" s="4"/>
      <c r="Y104" s="4"/>
      <c r="Z104" s="4"/>
      <c r="AA104" s="4"/>
      <c r="AB104" s="4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" hidden="1" customHeight="1" x14ac:dyDescent="0.2">
      <c r="A105" s="75" t="s">
        <v>51</v>
      </c>
      <c r="B105" s="150">
        <f>P51+IF(R51="N/A",0,R51)</f>
        <v>0</v>
      </c>
      <c r="C105" s="45"/>
      <c r="D105" s="150"/>
      <c r="E105" s="45"/>
      <c r="F105" s="107"/>
      <c r="G105" s="76"/>
      <c r="H105" s="3"/>
      <c r="N105" s="127"/>
      <c r="O105" s="89"/>
      <c r="P105" s="89"/>
      <c r="R105" s="76"/>
      <c r="S105" s="76"/>
      <c r="T105" s="3"/>
      <c r="V105" s="4"/>
      <c r="W105" s="4"/>
      <c r="X105" s="4"/>
      <c r="Y105" s="4"/>
      <c r="Z105" s="4"/>
      <c r="AA105" s="4"/>
      <c r="AB105" s="4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" hidden="1" customHeight="1" x14ac:dyDescent="0.2">
      <c r="A106" s="75" t="s">
        <v>102</v>
      </c>
      <c r="B106" s="150">
        <f>P53+IF(R53="N/A",0,R53)</f>
        <v>0</v>
      </c>
      <c r="C106" s="45"/>
      <c r="D106" s="150"/>
      <c r="E106" s="45"/>
      <c r="F106" s="107"/>
      <c r="G106" s="76"/>
      <c r="H106" s="3"/>
      <c r="N106" s="127"/>
      <c r="O106" s="89"/>
      <c r="P106" s="89"/>
      <c r="R106" s="76"/>
      <c r="S106" s="76"/>
      <c r="T106" s="3"/>
      <c r="V106" s="4"/>
      <c r="W106" s="4"/>
      <c r="X106" s="4"/>
      <c r="Y106" s="4"/>
      <c r="Z106" s="4"/>
      <c r="AA106" s="4"/>
      <c r="AB106" s="4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" hidden="1" customHeight="1" x14ac:dyDescent="0.2">
      <c r="A107" s="75" t="s">
        <v>39</v>
      </c>
      <c r="B107" s="150">
        <f>P55+IF(R55="N/A",0,R55)</f>
        <v>0</v>
      </c>
      <c r="C107" s="45"/>
      <c r="D107" s="150"/>
      <c r="E107" s="45"/>
      <c r="F107" s="107"/>
      <c r="G107" s="76"/>
      <c r="H107" s="3"/>
      <c r="N107" s="127"/>
      <c r="O107" s="89"/>
      <c r="P107" s="89"/>
      <c r="R107" s="76"/>
      <c r="S107" s="76"/>
      <c r="T107" s="3"/>
      <c r="V107" s="4"/>
      <c r="W107" s="4"/>
      <c r="X107" s="4"/>
      <c r="Y107" s="4"/>
      <c r="Z107" s="4"/>
      <c r="AA107" s="4"/>
      <c r="AB107" s="4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" hidden="1" customHeight="1" x14ac:dyDescent="0.2">
      <c r="A108" s="208" t="s">
        <v>224</v>
      </c>
      <c r="B108" s="150">
        <f>P57+IF(R57="N/A",0,R57)</f>
        <v>0</v>
      </c>
      <c r="C108" s="45"/>
      <c r="D108" s="150"/>
      <c r="E108" s="45"/>
      <c r="F108" s="107"/>
      <c r="G108" s="76"/>
      <c r="H108" s="3"/>
      <c r="N108" s="127"/>
      <c r="O108" s="89"/>
      <c r="P108" s="89"/>
      <c r="R108" s="76"/>
      <c r="S108" s="76"/>
      <c r="T108" s="3"/>
      <c r="V108" s="4"/>
      <c r="W108" s="4"/>
      <c r="X108" s="4"/>
      <c r="Y108" s="4"/>
      <c r="Z108" s="4"/>
      <c r="AA108" s="4"/>
      <c r="AB108" s="4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" hidden="1" customHeight="1" x14ac:dyDescent="0.2">
      <c r="A109" s="208" t="s">
        <v>221</v>
      </c>
      <c r="B109" s="150">
        <f>P59+IF(R59="N/A",0,R59)</f>
        <v>0</v>
      </c>
      <c r="C109" s="28"/>
      <c r="D109" s="26"/>
      <c r="E109" s="28"/>
      <c r="F109" s="109"/>
      <c r="G109" s="76"/>
      <c r="H109" s="177"/>
      <c r="N109" s="127"/>
      <c r="O109" s="112"/>
      <c r="P109" s="112"/>
      <c r="R109" s="76"/>
      <c r="S109" s="76"/>
      <c r="T109" s="4"/>
      <c r="U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hidden="1" customHeight="1" x14ac:dyDescent="0.2">
      <c r="A110" s="208" t="s">
        <v>222</v>
      </c>
      <c r="B110" s="150">
        <f>P61+IF(R61="N/A",0,R61)</f>
        <v>0</v>
      </c>
      <c r="C110" s="28"/>
      <c r="D110" s="26"/>
      <c r="E110" s="28"/>
      <c r="F110" s="109"/>
      <c r="G110" s="76"/>
      <c r="H110" s="36"/>
      <c r="N110" s="127"/>
      <c r="O110" s="112"/>
      <c r="P110" s="112"/>
      <c r="R110" s="76"/>
      <c r="S110" s="76"/>
      <c r="T110" s="4"/>
      <c r="U110" s="4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hidden="1" customHeight="1" x14ac:dyDescent="0.2">
      <c r="A111" s="75" t="s">
        <v>56</v>
      </c>
      <c r="B111" s="150">
        <f>P63+IF(R63="N/A",0,R63)</f>
        <v>0</v>
      </c>
      <c r="C111" s="28"/>
      <c r="D111" s="26"/>
      <c r="E111" s="28"/>
      <c r="F111" s="109"/>
      <c r="G111" s="76"/>
      <c r="H111" s="36"/>
      <c r="N111" s="127"/>
      <c r="O111" s="112"/>
      <c r="P111" s="112"/>
      <c r="R111" s="76"/>
      <c r="S111" s="76"/>
      <c r="T111" s="4"/>
      <c r="U111" s="4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hidden="1" customHeight="1" x14ac:dyDescent="0.2">
      <c r="A112" s="75" t="s">
        <v>57</v>
      </c>
      <c r="B112" s="150">
        <f>P65+IF(R65="N/A",0,R65)</f>
        <v>0</v>
      </c>
      <c r="C112" s="28"/>
      <c r="D112" s="26"/>
      <c r="E112" s="28"/>
      <c r="F112" s="109"/>
      <c r="G112" s="76"/>
      <c r="H112" s="28"/>
      <c r="N112" s="127"/>
      <c r="O112" s="112"/>
      <c r="P112" s="112"/>
      <c r="R112" s="76"/>
      <c r="S112" s="76"/>
      <c r="T112" s="4"/>
      <c r="U112" s="4"/>
      <c r="V112" s="64"/>
      <c r="W112" s="64"/>
      <c r="X112" s="64"/>
      <c r="Y112" s="64"/>
      <c r="Z112" s="64"/>
      <c r="AA112" s="64"/>
      <c r="AB112" s="64"/>
    </row>
    <row r="113" spans="1:42" ht="12.75" hidden="1" customHeight="1" x14ac:dyDescent="0.2">
      <c r="A113" s="75" t="s">
        <v>40</v>
      </c>
      <c r="B113" s="150">
        <f>P67+IF(R67="N/A",0,R67)</f>
        <v>0</v>
      </c>
      <c r="C113" s="28"/>
      <c r="D113" s="26"/>
      <c r="E113" s="28"/>
      <c r="F113" s="109"/>
      <c r="G113" s="76"/>
      <c r="H113" s="28"/>
      <c r="N113" s="127"/>
      <c r="O113" s="112"/>
      <c r="P113" s="112"/>
      <c r="R113" s="76"/>
      <c r="S113" s="76"/>
      <c r="T113" s="2"/>
      <c r="V113" s="64"/>
      <c r="W113" s="64"/>
      <c r="X113" s="64"/>
      <c r="Y113" s="64"/>
      <c r="Z113" s="64"/>
      <c r="AA113" s="64"/>
      <c r="AB113" s="64"/>
    </row>
    <row r="114" spans="1:42" ht="12.75" hidden="1" customHeight="1" x14ac:dyDescent="0.2">
      <c r="A114" s="75" t="s">
        <v>45</v>
      </c>
      <c r="B114" s="150">
        <f>P69+IF(R69="N/A",0,R69)</f>
        <v>0</v>
      </c>
      <c r="C114" s="28"/>
      <c r="D114" s="26"/>
      <c r="E114" s="28"/>
      <c r="F114" s="109"/>
      <c r="G114" s="76"/>
      <c r="H114" s="28"/>
      <c r="N114" s="127"/>
      <c r="O114" s="112"/>
      <c r="P114" s="112"/>
      <c r="R114" s="76"/>
      <c r="S114" s="76"/>
      <c r="T114" s="2"/>
      <c r="V114" s="64"/>
      <c r="W114" s="64"/>
      <c r="X114" s="64"/>
      <c r="Y114" s="64"/>
      <c r="Z114" s="64"/>
      <c r="AA114" s="64"/>
      <c r="AB114" s="64"/>
    </row>
    <row r="115" spans="1:42" ht="12.75" hidden="1" customHeight="1" x14ac:dyDescent="0.2">
      <c r="A115" s="208" t="s">
        <v>223</v>
      </c>
      <c r="B115" s="150">
        <f>P71+IF(R71="N/A",0,R71)</f>
        <v>0</v>
      </c>
      <c r="C115" s="28"/>
      <c r="D115" s="26"/>
      <c r="E115" s="28"/>
      <c r="F115" s="109"/>
      <c r="G115" s="76"/>
      <c r="H115" s="28"/>
      <c r="N115" s="127"/>
      <c r="O115" s="112"/>
      <c r="P115" s="112"/>
      <c r="R115" s="76"/>
      <c r="S115" s="76"/>
      <c r="T115" s="2"/>
      <c r="V115" s="64"/>
      <c r="W115" s="64"/>
      <c r="X115" s="64"/>
      <c r="Y115" s="64"/>
      <c r="Z115" s="64"/>
      <c r="AA115" s="64"/>
      <c r="AB115" s="64"/>
    </row>
    <row r="116" spans="1:42" hidden="1" x14ac:dyDescent="0.2">
      <c r="A116" s="254" t="s">
        <v>228</v>
      </c>
      <c r="B116" s="150"/>
      <c r="C116" s="28"/>
      <c r="D116" s="26"/>
      <c r="E116" s="28"/>
      <c r="F116" s="109"/>
      <c r="G116" s="76"/>
      <c r="H116" s="28"/>
      <c r="N116" s="127"/>
      <c r="O116" s="112"/>
      <c r="P116" s="112"/>
      <c r="R116" s="76"/>
      <c r="S116" s="76"/>
      <c r="T116" s="3"/>
      <c r="U116" s="4"/>
    </row>
    <row r="117" spans="1:42" hidden="1" x14ac:dyDescent="0.2">
      <c r="A117" s="254" t="s">
        <v>229</v>
      </c>
      <c r="B117" s="150"/>
      <c r="C117" s="28"/>
      <c r="D117" s="26"/>
      <c r="E117" s="28"/>
      <c r="F117" s="109"/>
      <c r="G117" s="76"/>
      <c r="H117" s="28"/>
      <c r="N117" s="127"/>
      <c r="O117" s="112"/>
      <c r="P117" s="112"/>
      <c r="R117" s="76"/>
      <c r="S117" s="76"/>
      <c r="T117" s="3"/>
      <c r="U117" s="4"/>
    </row>
    <row r="118" spans="1:42" hidden="1" x14ac:dyDescent="0.2">
      <c r="A118" s="254" t="s">
        <v>225</v>
      </c>
      <c r="B118" s="150"/>
      <c r="C118" s="28"/>
      <c r="D118" s="26"/>
      <c r="E118" s="28"/>
      <c r="F118" s="109"/>
      <c r="G118" s="76"/>
      <c r="H118" s="28"/>
      <c r="N118" s="127"/>
      <c r="O118" s="112"/>
      <c r="P118" s="112"/>
      <c r="R118" s="76"/>
      <c r="S118" s="76"/>
      <c r="T118" s="3"/>
      <c r="U118" s="4"/>
    </row>
    <row r="119" spans="1:42" hidden="1" x14ac:dyDescent="0.2">
      <c r="A119" s="254" t="s">
        <v>226</v>
      </c>
      <c r="B119" s="150"/>
      <c r="C119" s="28"/>
      <c r="D119" s="26"/>
      <c r="E119" s="28"/>
      <c r="F119" s="109"/>
      <c r="G119" s="76"/>
      <c r="H119" s="28"/>
      <c r="N119" s="127"/>
      <c r="O119" s="112"/>
      <c r="P119" s="112"/>
      <c r="R119" s="76"/>
      <c r="S119" s="76"/>
      <c r="T119" s="3"/>
      <c r="U119" s="4"/>
    </row>
    <row r="120" spans="1:42" s="4" customFormat="1" ht="12.75" hidden="1" customHeight="1" x14ac:dyDescent="0.2">
      <c r="A120" s="254" t="s">
        <v>227</v>
      </c>
      <c r="B120" s="150"/>
      <c r="C120" s="28"/>
      <c r="D120" s="26"/>
      <c r="E120" s="28"/>
      <c r="F120" s="109"/>
      <c r="G120" s="76"/>
      <c r="H120" s="28"/>
      <c r="I120" s="2"/>
      <c r="J120" s="89"/>
      <c r="K120" s="89"/>
      <c r="M120" s="89"/>
      <c r="N120" s="127"/>
      <c r="O120" s="112"/>
      <c r="P120" s="112"/>
      <c r="Q120" s="3"/>
      <c r="R120" s="76"/>
      <c r="S120" s="76"/>
      <c r="T120" s="3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8"/>
      <c r="AH120" s="28"/>
      <c r="AI120" s="28"/>
      <c r="AJ120" s="23"/>
      <c r="AK120" s="23"/>
      <c r="AL120" s="23"/>
      <c r="AM120" s="23"/>
      <c r="AN120" s="23"/>
      <c r="AO120" s="23"/>
      <c r="AP120" s="23"/>
    </row>
    <row r="121" spans="1:42" ht="12.75" customHeight="1" x14ac:dyDescent="0.2">
      <c r="A121" s="36"/>
      <c r="B121" s="215"/>
      <c r="C121" s="28"/>
      <c r="D121" s="26"/>
      <c r="E121" s="28"/>
      <c r="F121" s="109"/>
      <c r="G121" s="76"/>
      <c r="H121" s="28"/>
      <c r="O121" s="112"/>
      <c r="P121" s="112"/>
      <c r="R121" s="76"/>
      <c r="S121" s="76"/>
      <c r="T121" s="3"/>
      <c r="U121" s="4"/>
    </row>
    <row r="122" spans="1:42" ht="12.75" customHeight="1" x14ac:dyDescent="0.2">
      <c r="A122" s="36"/>
      <c r="B122" s="26"/>
      <c r="C122" s="28"/>
      <c r="D122" s="26"/>
      <c r="E122" s="28"/>
      <c r="F122" s="109"/>
      <c r="G122" s="76"/>
      <c r="H122" s="28"/>
      <c r="N122" s="127"/>
      <c r="O122" s="112"/>
      <c r="P122" s="112"/>
      <c r="R122" s="76"/>
      <c r="S122" s="76"/>
      <c r="T122" s="3"/>
    </row>
    <row r="123" spans="1:42" ht="12.75" customHeight="1" x14ac:dyDescent="0.2">
      <c r="A123" s="44"/>
      <c r="B123" s="26"/>
      <c r="C123" s="28"/>
      <c r="D123" s="26"/>
      <c r="E123" s="28"/>
      <c r="F123" s="109"/>
      <c r="G123" s="28"/>
      <c r="H123" s="28"/>
      <c r="N123" s="127"/>
      <c r="O123" s="112"/>
      <c r="P123" s="112"/>
      <c r="R123" s="76"/>
      <c r="S123" s="76"/>
      <c r="T123" s="3"/>
    </row>
    <row r="124" spans="1:42" s="28" customFormat="1" x14ac:dyDescent="0.2">
      <c r="A124" s="177"/>
      <c r="B124" s="26"/>
      <c r="D124" s="26"/>
      <c r="F124" s="109"/>
      <c r="H124" s="177"/>
      <c r="I124" s="2"/>
      <c r="J124" s="89"/>
      <c r="K124" s="89"/>
      <c r="O124" s="112"/>
      <c r="P124" s="112"/>
      <c r="Q124" s="3"/>
      <c r="R124" s="76"/>
      <c r="S124" s="76"/>
      <c r="T124" s="2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42" s="28" customFormat="1" x14ac:dyDescent="0.2">
      <c r="A125" s="177"/>
      <c r="B125" s="26"/>
      <c r="D125" s="26"/>
      <c r="F125" s="109"/>
      <c r="G125" s="32"/>
      <c r="H125" s="177"/>
      <c r="I125" s="2"/>
      <c r="J125" s="89"/>
      <c r="K125" s="89"/>
      <c r="M125" s="89"/>
      <c r="N125" s="127"/>
      <c r="O125" s="112"/>
      <c r="P125" s="112"/>
      <c r="Q125" s="3"/>
      <c r="R125" s="76"/>
      <c r="S125" s="76"/>
      <c r="T125" s="26"/>
    </row>
    <row r="126" spans="1:42" s="28" customFormat="1" x14ac:dyDescent="0.2">
      <c r="A126" s="177"/>
      <c r="B126" s="26"/>
      <c r="D126" s="26"/>
      <c r="F126" s="110"/>
      <c r="G126" s="32"/>
      <c r="H126" s="177"/>
      <c r="J126" s="112"/>
      <c r="K126" s="112"/>
      <c r="M126" s="89"/>
      <c r="N126" s="127"/>
      <c r="O126" s="112"/>
      <c r="P126" s="112"/>
      <c r="Q126" s="3"/>
      <c r="R126" s="76"/>
      <c r="S126" s="76"/>
      <c r="T126" s="26"/>
    </row>
    <row r="127" spans="1:42" s="28" customFormat="1" x14ac:dyDescent="0.2">
      <c r="A127" s="53"/>
      <c r="B127" s="26"/>
      <c r="D127" s="26"/>
      <c r="F127" s="109"/>
      <c r="G127" s="32"/>
      <c r="H127" s="53"/>
      <c r="J127" s="112"/>
      <c r="K127" s="112"/>
      <c r="M127" s="89"/>
      <c r="N127" s="127"/>
      <c r="O127" s="112"/>
      <c r="P127" s="112"/>
      <c r="Q127" s="3"/>
      <c r="R127" s="76"/>
      <c r="S127" s="76"/>
    </row>
    <row r="128" spans="1:42" s="28" customFormat="1" x14ac:dyDescent="0.2">
      <c r="A128" s="177"/>
      <c r="B128" s="26"/>
      <c r="D128" s="26"/>
      <c r="F128" s="109"/>
      <c r="G128" s="32"/>
      <c r="H128" s="177"/>
      <c r="J128" s="112"/>
      <c r="K128" s="112"/>
      <c r="M128" s="89"/>
      <c r="N128" s="127"/>
      <c r="O128" s="112"/>
      <c r="P128" s="112"/>
      <c r="Q128" s="3"/>
      <c r="R128" s="76"/>
      <c r="S128" s="76"/>
      <c r="U128" s="23"/>
    </row>
    <row r="129" spans="1:42" s="28" customFormat="1" x14ac:dyDescent="0.2">
      <c r="A129" s="54"/>
      <c r="B129" s="26"/>
      <c r="D129" s="26"/>
      <c r="F129" s="110"/>
      <c r="G129" s="32"/>
      <c r="H129" s="54"/>
      <c r="J129" s="112"/>
      <c r="K129" s="112"/>
      <c r="M129" s="89"/>
      <c r="N129" s="127"/>
      <c r="O129" s="112"/>
      <c r="P129" s="112"/>
      <c r="Q129" s="3"/>
      <c r="R129" s="76"/>
      <c r="S129" s="76"/>
      <c r="U129" s="23"/>
      <c r="AG129" s="56"/>
      <c r="AH129" s="56"/>
      <c r="AI129" s="56"/>
    </row>
    <row r="130" spans="1:42" s="28" customFormat="1" x14ac:dyDescent="0.2">
      <c r="A130" s="54"/>
      <c r="B130" s="26"/>
      <c r="D130" s="26"/>
      <c r="F130" s="111"/>
      <c r="G130" s="32"/>
      <c r="H130" s="54"/>
      <c r="J130" s="112"/>
      <c r="K130" s="112"/>
      <c r="M130" s="89"/>
      <c r="N130" s="127"/>
      <c r="O130" s="113"/>
      <c r="P130" s="113"/>
      <c r="Q130" s="3"/>
      <c r="R130" s="76"/>
      <c r="S130" s="76"/>
      <c r="U130" s="23"/>
    </row>
    <row r="131" spans="1:42" s="28" customFormat="1" x14ac:dyDescent="0.2">
      <c r="A131" s="177"/>
      <c r="B131" s="26"/>
      <c r="D131" s="26"/>
      <c r="F131" s="111"/>
      <c r="G131" s="32"/>
      <c r="H131" s="177"/>
      <c r="J131" s="112"/>
      <c r="K131" s="112"/>
      <c r="M131" s="89"/>
      <c r="N131" s="127"/>
      <c r="O131" s="113"/>
      <c r="P131" s="113"/>
      <c r="Q131" s="3"/>
      <c r="R131" s="76"/>
      <c r="S131" s="76"/>
      <c r="U131" s="23"/>
    </row>
    <row r="132" spans="1:42" s="28" customFormat="1" x14ac:dyDescent="0.2">
      <c r="A132" s="177"/>
      <c r="B132" s="55"/>
      <c r="C132" s="32"/>
      <c r="D132" s="55"/>
      <c r="E132" s="32"/>
      <c r="F132" s="110"/>
      <c r="G132" s="32"/>
      <c r="H132" s="177"/>
      <c r="J132" s="112"/>
      <c r="K132" s="112"/>
      <c r="M132" s="89"/>
      <c r="N132" s="127"/>
      <c r="O132" s="113"/>
      <c r="P132" s="113"/>
      <c r="Q132" s="3"/>
      <c r="R132" s="76"/>
      <c r="S132" s="76"/>
      <c r="U132" s="23"/>
    </row>
    <row r="133" spans="1:42" s="28" customFormat="1" x14ac:dyDescent="0.2">
      <c r="A133" s="177"/>
      <c r="B133" s="55"/>
      <c r="C133" s="32"/>
      <c r="D133" s="55"/>
      <c r="E133" s="32"/>
      <c r="F133" s="110"/>
      <c r="G133" s="32"/>
      <c r="H133" s="177"/>
      <c r="J133" s="112"/>
      <c r="K133" s="112"/>
      <c r="M133" s="89"/>
      <c r="N133" s="127"/>
      <c r="O133" s="113"/>
      <c r="P133" s="113"/>
      <c r="Q133" s="3"/>
      <c r="R133" s="76"/>
      <c r="S133" s="76"/>
      <c r="U133" s="23"/>
    </row>
    <row r="134" spans="1:42" s="28" customFormat="1" x14ac:dyDescent="0.2">
      <c r="A134" s="177"/>
      <c r="B134" s="55"/>
      <c r="C134" s="32"/>
      <c r="D134" s="55"/>
      <c r="E134" s="32"/>
      <c r="F134" s="110"/>
      <c r="G134" s="32"/>
      <c r="H134" s="177"/>
      <c r="J134" s="112"/>
      <c r="K134" s="112"/>
      <c r="M134" s="89"/>
      <c r="N134" s="127"/>
      <c r="O134" s="113"/>
      <c r="P134" s="113"/>
      <c r="Q134" s="3"/>
      <c r="R134" s="76"/>
      <c r="S134" s="76"/>
      <c r="U134" s="23"/>
    </row>
    <row r="135" spans="1:42" s="28" customFormat="1" x14ac:dyDescent="0.2">
      <c r="A135" s="177"/>
      <c r="B135" s="55"/>
      <c r="C135" s="32"/>
      <c r="D135" s="55"/>
      <c r="E135" s="32"/>
      <c r="F135" s="110"/>
      <c r="G135" s="32"/>
      <c r="H135" s="177"/>
      <c r="J135" s="112"/>
      <c r="K135" s="112"/>
      <c r="M135" s="113"/>
      <c r="N135" s="127"/>
      <c r="O135" s="113"/>
      <c r="P135" s="113"/>
      <c r="Q135" s="55"/>
      <c r="R135" s="77"/>
      <c r="S135" s="77"/>
      <c r="U135" s="23"/>
    </row>
    <row r="136" spans="1:42" x14ac:dyDescent="0.2">
      <c r="A136" s="177"/>
      <c r="B136" s="55"/>
      <c r="C136" s="32"/>
      <c r="D136" s="55"/>
      <c r="E136" s="32"/>
      <c r="F136" s="110"/>
      <c r="G136" s="32"/>
      <c r="H136" s="177"/>
      <c r="I136" s="32"/>
      <c r="J136" s="113"/>
      <c r="K136" s="113"/>
      <c r="L136" s="32"/>
      <c r="M136" s="113"/>
      <c r="N136" s="110"/>
      <c r="O136" s="113"/>
      <c r="P136" s="113"/>
      <c r="Q136" s="177"/>
      <c r="R136" s="23"/>
      <c r="S136" s="23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33"/>
      <c r="B137" s="55"/>
      <c r="C137" s="32"/>
      <c r="D137" s="55"/>
      <c r="E137" s="32"/>
      <c r="F137" s="110"/>
      <c r="G137" s="32"/>
      <c r="H137" s="28"/>
      <c r="I137" s="32"/>
      <c r="J137" s="113"/>
      <c r="K137" s="113"/>
      <c r="L137" s="32"/>
      <c r="M137" s="113"/>
      <c r="N137" s="112"/>
      <c r="O137" s="113"/>
      <c r="P137" s="113"/>
      <c r="Q137" s="177"/>
      <c r="R137" s="23"/>
      <c r="S137" s="23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33"/>
      <c r="B138" s="55"/>
      <c r="C138" s="32"/>
      <c r="D138" s="55"/>
      <c r="E138" s="32"/>
      <c r="F138" s="131"/>
      <c r="G138" s="32"/>
      <c r="H138" s="28"/>
      <c r="I138" s="32"/>
      <c r="J138" s="113"/>
      <c r="K138" s="113"/>
      <c r="L138" s="32"/>
      <c r="M138" s="113"/>
      <c r="N138" s="112"/>
      <c r="O138" s="113"/>
      <c r="P138" s="113"/>
      <c r="Q138" s="177"/>
      <c r="R138" s="32"/>
      <c r="S138" s="32"/>
      <c r="T138" s="2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8"/>
      <c r="B139" s="55"/>
      <c r="C139" s="32"/>
      <c r="D139" s="55"/>
      <c r="E139" s="32"/>
      <c r="F139" s="128"/>
      <c r="G139" s="32"/>
      <c r="H139" s="28"/>
      <c r="I139" s="32"/>
      <c r="J139" s="113"/>
      <c r="K139" s="113"/>
      <c r="L139" s="32"/>
      <c r="M139" s="113"/>
      <c r="N139" s="112"/>
      <c r="O139" s="113"/>
      <c r="P139" s="113"/>
      <c r="Q139" s="177"/>
      <c r="R139" s="23"/>
      <c r="S139" s="23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2">
      <c r="A140" s="28"/>
      <c r="B140" s="55"/>
      <c r="C140" s="32"/>
      <c r="D140" s="55"/>
      <c r="E140" s="32"/>
      <c r="F140" s="128"/>
      <c r="G140" s="32"/>
      <c r="H140" s="28"/>
      <c r="I140" s="32"/>
      <c r="J140" s="113"/>
      <c r="K140" s="113"/>
      <c r="L140" s="32"/>
      <c r="M140" s="113"/>
      <c r="N140" s="112"/>
      <c r="O140" s="113"/>
      <c r="P140" s="113"/>
      <c r="Q140" s="177"/>
      <c r="R140" s="23"/>
      <c r="S140" s="23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8"/>
      <c r="B141" s="55"/>
      <c r="C141" s="32"/>
      <c r="D141" s="55"/>
      <c r="E141" s="32"/>
      <c r="F141" s="128"/>
      <c r="G141" s="32"/>
      <c r="H141" s="28"/>
      <c r="I141" s="32"/>
      <c r="J141" s="113"/>
      <c r="K141" s="113"/>
      <c r="L141" s="32"/>
      <c r="M141" s="113"/>
      <c r="N141" s="112"/>
      <c r="O141" s="113"/>
      <c r="P141" s="113"/>
      <c r="Q141" s="28"/>
      <c r="R141" s="23"/>
      <c r="S141" s="23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36"/>
      <c r="B142" s="55"/>
      <c r="C142" s="32"/>
      <c r="D142" s="55"/>
      <c r="E142" s="32"/>
      <c r="F142" s="128"/>
      <c r="G142" s="32"/>
      <c r="H142" s="28"/>
      <c r="I142" s="32"/>
      <c r="J142" s="113"/>
      <c r="K142" s="113"/>
      <c r="L142" s="32"/>
      <c r="M142" s="113"/>
      <c r="N142" s="112"/>
      <c r="O142" s="113"/>
      <c r="P142" s="113"/>
      <c r="Q142" s="28"/>
      <c r="R142" s="23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23" customFormat="1" x14ac:dyDescent="0.2">
      <c r="A143" s="36"/>
      <c r="B143" s="55"/>
      <c r="C143" s="32"/>
      <c r="D143" s="55"/>
      <c r="E143" s="32"/>
      <c r="F143" s="128"/>
      <c r="G143" s="32"/>
      <c r="H143" s="28"/>
      <c r="I143" s="32"/>
      <c r="J143" s="113"/>
      <c r="K143" s="113"/>
      <c r="L143" s="32"/>
      <c r="M143" s="113"/>
      <c r="N143" s="112"/>
      <c r="O143" s="113"/>
      <c r="P143" s="113"/>
      <c r="Q143" s="32"/>
      <c r="R143" s="26"/>
      <c r="S143" s="26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42" x14ac:dyDescent="0.2">
      <c r="A144" s="28"/>
      <c r="B144" s="26"/>
      <c r="C144" s="26"/>
      <c r="D144" s="26"/>
      <c r="E144" s="26"/>
      <c r="F144" s="128"/>
      <c r="G144" s="32"/>
      <c r="H144" s="32"/>
      <c r="I144" s="32"/>
      <c r="J144" s="113"/>
      <c r="K144" s="113"/>
      <c r="L144" s="32"/>
      <c r="M144" s="113"/>
      <c r="N144" s="113"/>
      <c r="O144" s="113"/>
      <c r="P144" s="113"/>
      <c r="Q144" s="27"/>
      <c r="R144" s="26"/>
      <c r="S144" s="26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2">
      <c r="A145" s="177"/>
      <c r="B145" s="26"/>
      <c r="C145" s="28"/>
      <c r="D145" s="26"/>
      <c r="E145" s="28"/>
      <c r="F145" s="110"/>
      <c r="G145" s="32"/>
      <c r="H145" s="177"/>
      <c r="I145" s="32"/>
      <c r="J145" s="113"/>
      <c r="K145" s="113"/>
      <c r="L145" s="32"/>
      <c r="M145" s="113"/>
      <c r="N145" s="110"/>
      <c r="O145" s="113"/>
      <c r="P145" s="113"/>
      <c r="Q145" s="177"/>
      <c r="R145" s="26"/>
      <c r="S145" s="26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177"/>
      <c r="B146" s="26"/>
      <c r="C146" s="28"/>
      <c r="D146" s="26"/>
      <c r="E146" s="28"/>
      <c r="F146" s="110"/>
      <c r="G146" s="32"/>
      <c r="H146" s="177"/>
      <c r="I146" s="32"/>
      <c r="J146" s="113"/>
      <c r="K146" s="113"/>
      <c r="L146" s="32"/>
      <c r="M146" s="113"/>
      <c r="N146" s="110"/>
      <c r="O146" s="113"/>
      <c r="P146" s="113"/>
      <c r="Q146" s="177"/>
      <c r="R146" s="26"/>
      <c r="S146" s="2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177"/>
      <c r="B147" s="55"/>
      <c r="C147" s="32"/>
      <c r="D147" s="55"/>
      <c r="E147" s="32"/>
      <c r="F147" s="110"/>
      <c r="G147" s="32"/>
      <c r="H147" s="177"/>
      <c r="I147" s="32"/>
      <c r="J147" s="113"/>
      <c r="K147" s="113"/>
      <c r="L147" s="32"/>
      <c r="M147" s="113"/>
      <c r="N147" s="110"/>
      <c r="O147" s="113"/>
      <c r="P147" s="113"/>
      <c r="Q147" s="177"/>
      <c r="R147" s="26"/>
      <c r="S147" s="26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53"/>
      <c r="B148" s="55"/>
      <c r="C148" s="32"/>
      <c r="D148" s="55"/>
      <c r="E148" s="32"/>
      <c r="F148" s="109"/>
      <c r="G148" s="32"/>
      <c r="H148" s="53"/>
      <c r="I148" s="32"/>
      <c r="J148" s="113"/>
      <c r="K148" s="112"/>
      <c r="L148" s="28"/>
      <c r="M148" s="112"/>
      <c r="N148" s="109"/>
      <c r="O148" s="113"/>
      <c r="P148" s="113"/>
      <c r="Q148" s="53"/>
      <c r="R148" s="26"/>
      <c r="S148" s="26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53"/>
      <c r="B149" s="55"/>
      <c r="C149" s="32"/>
      <c r="D149" s="55"/>
      <c r="E149" s="32"/>
      <c r="F149" s="109"/>
      <c r="G149" s="28"/>
      <c r="H149" s="53"/>
      <c r="I149" s="32"/>
      <c r="J149" s="113"/>
      <c r="K149" s="112"/>
      <c r="L149" s="28"/>
      <c r="M149" s="112"/>
      <c r="N149" s="109"/>
      <c r="O149" s="113"/>
      <c r="P149" s="113"/>
      <c r="Q149" s="53"/>
      <c r="R149" s="26"/>
      <c r="S149" s="26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177"/>
      <c r="B150" s="55"/>
      <c r="C150" s="32"/>
      <c r="D150" s="55"/>
      <c r="E150" s="32"/>
      <c r="F150" s="110"/>
      <c r="G150" s="28"/>
      <c r="H150" s="177"/>
      <c r="I150" s="32"/>
      <c r="J150" s="113"/>
      <c r="K150" s="112"/>
      <c r="L150" s="28"/>
      <c r="M150" s="112"/>
      <c r="N150" s="110"/>
      <c r="O150" s="112"/>
      <c r="P150" s="112"/>
      <c r="Q150" s="177"/>
      <c r="R150" s="26"/>
      <c r="S150" s="26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54"/>
      <c r="B151" s="55"/>
      <c r="C151" s="32"/>
      <c r="D151" s="55"/>
      <c r="E151" s="32"/>
      <c r="F151" s="111"/>
      <c r="G151" s="28"/>
      <c r="H151" s="54"/>
      <c r="I151" s="32"/>
      <c r="J151" s="113"/>
      <c r="K151" s="112"/>
      <c r="L151" s="28"/>
      <c r="M151" s="112"/>
      <c r="N151" s="111"/>
      <c r="O151" s="112"/>
      <c r="P151" s="112"/>
      <c r="Q151" s="54"/>
      <c r="R151" s="26"/>
      <c r="S151" s="26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28" customFormat="1" x14ac:dyDescent="0.2">
      <c r="A152" s="177"/>
      <c r="B152" s="55"/>
      <c r="C152" s="32"/>
      <c r="D152" s="55"/>
      <c r="E152" s="32"/>
      <c r="F152" s="110"/>
      <c r="H152" s="54"/>
      <c r="I152" s="32"/>
      <c r="J152" s="113"/>
      <c r="K152" s="112"/>
      <c r="M152" s="112"/>
      <c r="N152" s="111"/>
      <c r="O152" s="112"/>
      <c r="P152" s="112"/>
      <c r="Q152" s="54"/>
      <c r="R152" s="26"/>
      <c r="S152" s="26"/>
    </row>
    <row r="153" spans="1:42" s="28" customFormat="1" x14ac:dyDescent="0.2">
      <c r="A153" s="177"/>
      <c r="B153" s="55"/>
      <c r="C153" s="32"/>
      <c r="D153" s="55"/>
      <c r="E153" s="32"/>
      <c r="F153" s="110"/>
      <c r="H153" s="177"/>
      <c r="I153" s="32"/>
      <c r="J153" s="113"/>
      <c r="K153" s="112"/>
      <c r="M153" s="112"/>
      <c r="N153" s="110"/>
      <c r="O153" s="112"/>
      <c r="P153" s="112"/>
      <c r="Q153" s="177"/>
      <c r="R153" s="26"/>
      <c r="S153" s="26"/>
    </row>
    <row r="154" spans="1:42" s="28" customFormat="1" x14ac:dyDescent="0.2">
      <c r="A154" s="177"/>
      <c r="B154" s="55"/>
      <c r="C154" s="32"/>
      <c r="D154" s="55"/>
      <c r="E154" s="32"/>
      <c r="F154" s="110"/>
      <c r="H154" s="177"/>
      <c r="I154" s="32"/>
      <c r="J154" s="113"/>
      <c r="K154" s="112"/>
      <c r="M154" s="112"/>
      <c r="N154" s="110"/>
      <c r="O154" s="112"/>
      <c r="P154" s="112"/>
      <c r="Q154" s="177"/>
      <c r="R154" s="23"/>
      <c r="S154" s="23"/>
    </row>
    <row r="155" spans="1:42" s="28" customFormat="1" x14ac:dyDescent="0.2">
      <c r="A155" s="177"/>
      <c r="B155" s="55"/>
      <c r="C155" s="32"/>
      <c r="D155" s="55"/>
      <c r="E155" s="32"/>
      <c r="F155" s="110"/>
      <c r="H155" s="177"/>
      <c r="J155" s="112"/>
      <c r="K155" s="112"/>
      <c r="M155" s="112"/>
      <c r="N155" s="110"/>
      <c r="O155" s="112"/>
      <c r="P155" s="112"/>
      <c r="Q155" s="177"/>
      <c r="R155" s="23"/>
      <c r="S155" s="23"/>
    </row>
    <row r="156" spans="1:42" s="28" customFormat="1" x14ac:dyDescent="0.2">
      <c r="A156" s="177"/>
      <c r="B156" s="55"/>
      <c r="C156" s="32"/>
      <c r="D156" s="55"/>
      <c r="E156" s="32"/>
      <c r="F156" s="110"/>
      <c r="H156" s="177"/>
      <c r="J156" s="112"/>
      <c r="K156" s="112"/>
      <c r="M156" s="112"/>
      <c r="N156" s="110"/>
      <c r="O156" s="112"/>
      <c r="P156" s="112"/>
      <c r="Q156" s="177"/>
      <c r="R156" s="26"/>
      <c r="S156" s="26"/>
    </row>
    <row r="157" spans="1:42" s="28" customFormat="1" x14ac:dyDescent="0.2">
      <c r="A157" s="177"/>
      <c r="B157" s="55"/>
      <c r="C157" s="32"/>
      <c r="D157" s="55"/>
      <c r="E157" s="32"/>
      <c r="F157" s="110"/>
      <c r="H157" s="177"/>
      <c r="J157" s="112"/>
      <c r="K157" s="112"/>
      <c r="M157" s="112"/>
      <c r="N157" s="110"/>
      <c r="O157" s="112"/>
      <c r="P157" s="112"/>
      <c r="Q157" s="177"/>
      <c r="R157" s="26"/>
      <c r="S157" s="26"/>
    </row>
    <row r="158" spans="1:42" s="28" customFormat="1" x14ac:dyDescent="0.2">
      <c r="A158" s="33"/>
      <c r="B158" s="55"/>
      <c r="C158" s="32"/>
      <c r="D158" s="55"/>
      <c r="E158" s="32"/>
      <c r="F158" s="131"/>
      <c r="J158" s="112"/>
      <c r="K158" s="112"/>
      <c r="M158" s="112"/>
      <c r="N158" s="112"/>
      <c r="O158" s="112"/>
      <c r="P158" s="112"/>
      <c r="R158" s="26"/>
      <c r="S158" s="26"/>
    </row>
    <row r="159" spans="1:42" s="28" customFormat="1" x14ac:dyDescent="0.2">
      <c r="A159" s="33"/>
      <c r="B159" s="55"/>
      <c r="C159" s="32"/>
      <c r="D159" s="55"/>
      <c r="E159" s="32"/>
      <c r="F159" s="131"/>
      <c r="J159" s="112"/>
      <c r="K159" s="112"/>
      <c r="M159" s="112"/>
      <c r="N159" s="112"/>
      <c r="O159" s="112"/>
      <c r="P159" s="112"/>
      <c r="R159" s="32"/>
      <c r="S159" s="32"/>
      <c r="T159" s="23"/>
    </row>
    <row r="160" spans="1:42" s="28" customFormat="1" x14ac:dyDescent="0.2">
      <c r="A160" s="53"/>
      <c r="B160" s="55"/>
      <c r="C160" s="32"/>
      <c r="D160" s="55"/>
      <c r="E160" s="32"/>
      <c r="F160" s="109"/>
      <c r="H160" s="23"/>
      <c r="I160" s="32"/>
      <c r="J160" s="113"/>
      <c r="K160" s="112"/>
      <c r="L160" s="26"/>
      <c r="M160" s="112"/>
      <c r="N160" s="112"/>
      <c r="O160" s="112"/>
      <c r="P160" s="112"/>
      <c r="R160" s="32"/>
      <c r="S160" s="32"/>
      <c r="T160" s="23"/>
    </row>
    <row r="161" spans="1:42" s="28" customFormat="1" x14ac:dyDescent="0.2">
      <c r="A161" s="53"/>
      <c r="B161" s="55"/>
      <c r="C161" s="32"/>
      <c r="D161" s="55"/>
      <c r="E161" s="32"/>
      <c r="F161" s="109"/>
      <c r="I161" s="32"/>
      <c r="J161" s="113"/>
      <c r="K161" s="112"/>
      <c r="L161" s="26"/>
      <c r="M161" s="112"/>
      <c r="N161" s="102"/>
      <c r="O161" s="112"/>
      <c r="P161" s="112"/>
      <c r="R161" s="32"/>
      <c r="S161" s="32"/>
      <c r="T161" s="23"/>
    </row>
    <row r="162" spans="1:42" s="28" customFormat="1" x14ac:dyDescent="0.2">
      <c r="B162" s="55"/>
      <c r="C162" s="32"/>
      <c r="D162" s="55"/>
      <c r="E162" s="32"/>
      <c r="F162" s="128"/>
      <c r="H162" s="32"/>
      <c r="I162" s="32"/>
      <c r="J162" s="113"/>
      <c r="K162" s="112"/>
      <c r="L162" s="26"/>
      <c r="M162" s="112"/>
      <c r="N162" s="112"/>
      <c r="O162" s="112"/>
      <c r="P162" s="112"/>
      <c r="R162" s="32"/>
      <c r="S162" s="32"/>
      <c r="T162" s="23"/>
    </row>
    <row r="163" spans="1:42" s="28" customFormat="1" x14ac:dyDescent="0.2">
      <c r="A163" s="36"/>
      <c r="B163" s="55"/>
      <c r="C163" s="32"/>
      <c r="D163" s="55"/>
      <c r="E163" s="32"/>
      <c r="F163" s="128"/>
      <c r="I163" s="32"/>
      <c r="J163" s="113"/>
      <c r="K163" s="112"/>
      <c r="L163" s="26"/>
      <c r="M163" s="112"/>
      <c r="N163" s="113"/>
      <c r="O163" s="112"/>
      <c r="P163" s="112"/>
      <c r="R163" s="32"/>
      <c r="S163" s="32"/>
      <c r="T163" s="23"/>
    </row>
    <row r="164" spans="1:42" s="28" customFormat="1" x14ac:dyDescent="0.2">
      <c r="A164" s="36"/>
      <c r="B164" s="55"/>
      <c r="C164" s="32"/>
      <c r="D164" s="55"/>
      <c r="E164" s="32"/>
      <c r="F164" s="128"/>
      <c r="I164" s="32"/>
      <c r="J164" s="113"/>
      <c r="K164" s="112"/>
      <c r="L164" s="26"/>
      <c r="M164" s="112"/>
      <c r="N164" s="112"/>
      <c r="O164" s="112"/>
      <c r="P164" s="112"/>
      <c r="Q164" s="27"/>
      <c r="R164" s="32"/>
      <c r="S164" s="32"/>
      <c r="T164" s="23"/>
    </row>
    <row r="165" spans="1:42" s="28" customFormat="1" x14ac:dyDescent="0.2">
      <c r="B165" s="55"/>
      <c r="C165" s="32"/>
      <c r="D165" s="55"/>
      <c r="E165" s="32"/>
      <c r="F165" s="128"/>
      <c r="J165" s="112"/>
      <c r="K165" s="112"/>
      <c r="L165" s="26"/>
      <c r="M165" s="112"/>
      <c r="N165" s="112"/>
      <c r="O165" s="112"/>
      <c r="P165" s="112"/>
      <c r="Q165" s="23"/>
      <c r="R165" s="32"/>
      <c r="S165" s="32"/>
      <c r="T165" s="23"/>
    </row>
    <row r="166" spans="1:42" s="28" customFormat="1" x14ac:dyDescent="0.2">
      <c r="B166" s="55"/>
      <c r="C166" s="32"/>
      <c r="D166" s="55"/>
      <c r="E166" s="32"/>
      <c r="F166" s="128"/>
      <c r="J166" s="112"/>
      <c r="K166" s="112"/>
      <c r="L166" s="26"/>
      <c r="M166" s="112"/>
      <c r="N166" s="112"/>
      <c r="O166" s="112"/>
      <c r="P166" s="112"/>
      <c r="Q166" s="27"/>
      <c r="R166" s="32"/>
      <c r="S166" s="32"/>
      <c r="T166" s="23"/>
    </row>
    <row r="167" spans="1:42" s="28" customFormat="1" x14ac:dyDescent="0.2">
      <c r="B167" s="55"/>
      <c r="C167" s="32"/>
      <c r="D167" s="55"/>
      <c r="E167" s="32"/>
      <c r="F167" s="132"/>
      <c r="J167" s="112"/>
      <c r="K167" s="112"/>
      <c r="L167" s="26"/>
      <c r="M167" s="112"/>
      <c r="N167" s="112"/>
      <c r="O167" s="112"/>
      <c r="P167" s="112"/>
      <c r="Q167" s="32"/>
      <c r="R167" s="32"/>
      <c r="S167" s="32"/>
      <c r="T167" s="23"/>
    </row>
    <row r="168" spans="1:42" x14ac:dyDescent="0.2">
      <c r="A168" s="28"/>
      <c r="B168" s="55"/>
      <c r="C168" s="32"/>
      <c r="D168" s="55"/>
      <c r="E168" s="32"/>
      <c r="F168" s="128"/>
      <c r="G168" s="28"/>
      <c r="H168" s="28"/>
      <c r="I168" s="28"/>
      <c r="J168" s="112"/>
      <c r="K168" s="112"/>
      <c r="L168" s="26"/>
      <c r="M168" s="112"/>
      <c r="N168" s="112"/>
      <c r="O168" s="112"/>
      <c r="P168" s="112"/>
      <c r="Q168" s="28"/>
      <c r="R168" s="32"/>
      <c r="S168" s="32"/>
      <c r="T168" s="302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12"/>
      <c r="P169" s="112"/>
      <c r="Q169" s="28"/>
      <c r="R169" s="32"/>
      <c r="S169" s="32"/>
      <c r="T169" s="23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8"/>
      <c r="B170" s="26"/>
      <c r="C170" s="28"/>
      <c r="D170" s="26"/>
      <c r="E170" s="28"/>
      <c r="F170" s="133"/>
      <c r="G170" s="28"/>
      <c r="H170" s="28"/>
      <c r="I170" s="28"/>
      <c r="J170" s="112"/>
      <c r="K170" s="112"/>
      <c r="L170" s="26"/>
      <c r="M170" s="112"/>
      <c r="N170" s="112"/>
      <c r="O170" s="112"/>
      <c r="P170" s="112"/>
      <c r="Q170" s="28"/>
      <c r="R170" s="302"/>
      <c r="S170" s="302"/>
      <c r="T170" s="23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8"/>
      <c r="B171" s="26"/>
      <c r="C171" s="28"/>
      <c r="D171" s="26"/>
      <c r="E171" s="28"/>
      <c r="F171" s="134"/>
      <c r="G171" s="28"/>
      <c r="H171" s="28"/>
      <c r="I171" s="28"/>
      <c r="J171" s="112"/>
      <c r="K171" s="112"/>
      <c r="L171" s="26"/>
      <c r="M171" s="112"/>
      <c r="N171" s="112"/>
      <c r="O171" s="112"/>
      <c r="P171" s="112"/>
      <c r="Q171" s="28"/>
      <c r="R171" s="302"/>
      <c r="S171" s="302"/>
      <c r="T171" s="23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3"/>
      <c r="B172" s="26"/>
      <c r="C172" s="28"/>
      <c r="D172" s="26"/>
      <c r="E172" s="28"/>
      <c r="F172" s="134"/>
      <c r="G172" s="28"/>
      <c r="H172" s="28"/>
      <c r="I172" s="28"/>
      <c r="J172" s="112"/>
      <c r="K172" s="112"/>
      <c r="L172" s="26"/>
      <c r="M172" s="112"/>
      <c r="N172" s="112"/>
      <c r="O172" s="112"/>
      <c r="P172" s="112"/>
      <c r="Q172" s="28"/>
      <c r="R172" s="302"/>
      <c r="S172" s="302"/>
      <c r="T172" s="23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8"/>
      <c r="B173" s="26"/>
      <c r="C173" s="28"/>
      <c r="D173" s="26"/>
      <c r="E173" s="28"/>
      <c r="F173" s="134"/>
      <c r="G173" s="28"/>
      <c r="H173" s="28"/>
      <c r="I173" s="28"/>
      <c r="J173" s="112"/>
      <c r="K173" s="112"/>
      <c r="L173" s="26"/>
      <c r="M173" s="112"/>
      <c r="N173" s="112"/>
      <c r="O173" s="112"/>
      <c r="P173" s="112"/>
      <c r="Q173" s="28"/>
      <c r="R173" s="302"/>
      <c r="S173" s="302"/>
      <c r="T173" s="23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32"/>
      <c r="B174" s="26"/>
      <c r="C174" s="28"/>
      <c r="D174" s="26"/>
      <c r="E174" s="28"/>
      <c r="F174" s="133"/>
      <c r="G174" s="28"/>
      <c r="H174" s="28"/>
      <c r="I174" s="28"/>
      <c r="J174" s="112"/>
      <c r="K174" s="112"/>
      <c r="L174" s="26"/>
      <c r="M174" s="112"/>
      <c r="N174" s="112"/>
      <c r="O174" s="112"/>
      <c r="P174" s="112"/>
      <c r="Q174" s="27"/>
      <c r="R174" s="302"/>
      <c r="S174" s="302"/>
      <c r="T174" s="23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34"/>
      <c r="B175" s="26"/>
      <c r="C175" s="28"/>
      <c r="D175" s="26"/>
      <c r="E175" s="28"/>
      <c r="F175" s="133"/>
      <c r="G175" s="28"/>
      <c r="H175" s="28"/>
      <c r="I175" s="28"/>
      <c r="J175" s="112"/>
      <c r="K175" s="112"/>
      <c r="L175" s="26"/>
      <c r="M175" s="112"/>
      <c r="N175" s="112"/>
      <c r="O175" s="112"/>
      <c r="P175" s="112"/>
      <c r="Q175" s="27"/>
      <c r="R175" s="302"/>
      <c r="S175" s="302"/>
      <c r="T175" s="23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35"/>
      <c r="B176" s="26"/>
      <c r="C176" s="28"/>
      <c r="D176" s="26"/>
      <c r="E176" s="28"/>
      <c r="F176" s="133"/>
      <c r="G176" s="28"/>
      <c r="H176" s="28"/>
      <c r="I176" s="28"/>
      <c r="J176" s="112"/>
      <c r="K176" s="112"/>
      <c r="L176" s="26"/>
      <c r="M176" s="112"/>
      <c r="N176" s="112"/>
      <c r="O176" s="112"/>
      <c r="P176" s="112"/>
      <c r="Q176" s="27"/>
      <c r="R176" s="302"/>
      <c r="S176" s="302"/>
      <c r="T176" s="23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35"/>
      <c r="B177" s="26"/>
      <c r="C177" s="28"/>
      <c r="D177" s="26"/>
      <c r="E177" s="28"/>
      <c r="F177" s="133"/>
      <c r="G177" s="28"/>
      <c r="H177" s="28"/>
      <c r="I177" s="28"/>
      <c r="J177" s="112"/>
      <c r="K177" s="112"/>
      <c r="L177" s="26"/>
      <c r="M177" s="112"/>
      <c r="N177" s="112"/>
      <c r="O177" s="112"/>
      <c r="P177" s="112"/>
      <c r="Q177" s="27"/>
      <c r="R177" s="32"/>
      <c r="S177" s="32"/>
      <c r="T177" s="23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35"/>
      <c r="B178" s="26"/>
      <c r="C178" s="28"/>
      <c r="D178" s="26"/>
      <c r="E178" s="28"/>
      <c r="F178" s="133"/>
      <c r="G178" s="28"/>
      <c r="H178" s="28"/>
      <c r="I178" s="28"/>
      <c r="J178" s="112"/>
      <c r="K178" s="112"/>
      <c r="L178" s="26"/>
      <c r="M178" s="112"/>
      <c r="N178" s="112"/>
      <c r="O178" s="112"/>
      <c r="P178" s="112"/>
      <c r="Q178" s="27"/>
      <c r="R178" s="32"/>
      <c r="S178" s="32"/>
      <c r="T178" s="23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33"/>
      <c r="B179" s="26"/>
      <c r="C179" s="28"/>
      <c r="D179" s="26"/>
      <c r="E179" s="28"/>
      <c r="F179" s="133"/>
      <c r="G179" s="28"/>
      <c r="H179" s="28"/>
      <c r="I179" s="28"/>
      <c r="J179" s="112"/>
      <c r="K179" s="112"/>
      <c r="L179" s="26"/>
      <c r="M179" s="112"/>
      <c r="N179" s="112"/>
      <c r="O179" s="112"/>
      <c r="P179" s="112"/>
      <c r="Q179" s="27"/>
      <c r="R179" s="32"/>
      <c r="S179" s="32"/>
      <c r="T179" s="23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33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12"/>
      <c r="P180" s="112"/>
      <c r="Q180" s="27"/>
      <c r="R180" s="55"/>
      <c r="S180" s="55"/>
      <c r="T180" s="23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33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12"/>
      <c r="P181" s="112"/>
      <c r="Q181" s="27"/>
      <c r="R181" s="26"/>
      <c r="S181" s="26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33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12"/>
      <c r="P182" s="112"/>
      <c r="Q182" s="27"/>
      <c r="R182" s="26"/>
      <c r="S182" s="26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33"/>
      <c r="B183" s="26"/>
      <c r="C183" s="28"/>
      <c r="D183" s="26"/>
      <c r="E183" s="28"/>
      <c r="F183" s="131"/>
      <c r="G183" s="28"/>
      <c r="H183" s="28"/>
      <c r="I183" s="28"/>
      <c r="J183" s="112"/>
      <c r="K183" s="112"/>
      <c r="L183" s="26"/>
      <c r="M183" s="112"/>
      <c r="N183" s="112"/>
      <c r="O183" s="112"/>
      <c r="P183" s="112"/>
      <c r="Q183" s="27"/>
      <c r="R183" s="26"/>
      <c r="S183" s="26"/>
      <c r="T183" s="2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33"/>
      <c r="B184" s="26"/>
      <c r="C184" s="28"/>
      <c r="D184" s="26"/>
      <c r="E184" s="28"/>
      <c r="F184" s="131"/>
      <c r="G184" s="28"/>
      <c r="H184" s="28"/>
      <c r="I184" s="28"/>
      <c r="J184" s="112"/>
      <c r="K184" s="112"/>
      <c r="L184" s="26"/>
      <c r="M184" s="112"/>
      <c r="N184" s="112"/>
      <c r="O184" s="112"/>
      <c r="P184" s="112"/>
      <c r="Q184" s="27"/>
      <c r="R184" s="26"/>
      <c r="S184" s="26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8"/>
      <c r="B185" s="26"/>
      <c r="C185" s="28"/>
      <c r="D185" s="26"/>
      <c r="E185" s="28"/>
      <c r="F185" s="128"/>
      <c r="G185" s="28"/>
      <c r="H185" s="28"/>
      <c r="I185" s="28"/>
      <c r="J185" s="112"/>
      <c r="K185" s="112"/>
      <c r="L185" s="26"/>
      <c r="M185" s="112"/>
      <c r="N185" s="112"/>
      <c r="O185" s="112"/>
      <c r="P185" s="112"/>
      <c r="Q185" s="27"/>
      <c r="R185" s="26"/>
      <c r="S185" s="26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8"/>
      <c r="B186" s="26"/>
      <c r="C186" s="28"/>
      <c r="D186" s="26"/>
      <c r="E186" s="28"/>
      <c r="F186" s="128"/>
      <c r="G186" s="28"/>
      <c r="H186" s="28"/>
      <c r="I186" s="28"/>
      <c r="J186" s="112"/>
      <c r="K186" s="112"/>
      <c r="L186" s="26"/>
      <c r="M186" s="112"/>
      <c r="N186" s="112"/>
      <c r="O186" s="112"/>
      <c r="P186" s="112"/>
      <c r="Q186" s="27"/>
      <c r="R186" s="26"/>
      <c r="S186" s="26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8"/>
      <c r="B187" s="26"/>
      <c r="C187" s="28"/>
      <c r="D187" s="26"/>
      <c r="E187" s="28"/>
      <c r="F187" s="128"/>
      <c r="G187" s="28"/>
      <c r="H187" s="28"/>
      <c r="I187" s="28"/>
      <c r="J187" s="112"/>
      <c r="K187" s="112"/>
      <c r="L187" s="26"/>
      <c r="M187" s="112"/>
      <c r="N187" s="112"/>
      <c r="O187" s="112"/>
      <c r="P187" s="112"/>
      <c r="Q187" s="27"/>
      <c r="R187" s="26"/>
      <c r="S187" s="26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32" customFormat="1" x14ac:dyDescent="0.2">
      <c r="A188" s="36"/>
      <c r="B188" s="26"/>
      <c r="C188" s="28"/>
      <c r="D188" s="26"/>
      <c r="E188" s="28"/>
      <c r="F188" s="128"/>
      <c r="G188" s="28"/>
      <c r="H188" s="28"/>
      <c r="I188" s="28"/>
      <c r="J188" s="112"/>
      <c r="K188" s="112"/>
      <c r="L188" s="26"/>
      <c r="M188" s="112"/>
      <c r="N188" s="112"/>
      <c r="O188" s="112"/>
      <c r="P188" s="112"/>
      <c r="Q188" s="26"/>
      <c r="R188" s="26"/>
      <c r="S188" s="26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42" x14ac:dyDescent="0.2">
      <c r="A189" s="36"/>
      <c r="B189" s="26"/>
      <c r="C189" s="28"/>
      <c r="D189" s="26"/>
      <c r="E189" s="28"/>
      <c r="F189" s="128"/>
      <c r="G189" s="28"/>
      <c r="H189" s="28"/>
      <c r="I189" s="28"/>
      <c r="J189" s="112"/>
      <c r="K189" s="112"/>
      <c r="L189" s="26"/>
      <c r="M189" s="112"/>
      <c r="N189" s="112"/>
      <c r="O189" s="112"/>
      <c r="P189" s="112"/>
      <c r="Q189" s="26"/>
      <c r="R189" s="26"/>
      <c r="S189" s="26"/>
      <c r="T189" s="32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8"/>
      <c r="B190" s="26"/>
      <c r="C190" s="28"/>
      <c r="D190" s="26"/>
      <c r="E190" s="28"/>
      <c r="F190" s="128"/>
      <c r="G190" s="28"/>
      <c r="H190" s="28"/>
      <c r="I190" s="28"/>
      <c r="J190" s="112"/>
      <c r="K190" s="112"/>
      <c r="L190" s="26"/>
      <c r="M190" s="112"/>
      <c r="N190" s="112"/>
      <c r="O190" s="112"/>
      <c r="P190" s="112"/>
      <c r="Q190" s="26"/>
      <c r="R190" s="26"/>
      <c r="S190" s="26"/>
      <c r="T190" s="32"/>
      <c r="U190" s="23"/>
      <c r="V190" s="33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8"/>
      <c r="B191" s="26"/>
      <c r="C191" s="28"/>
      <c r="D191" s="26"/>
      <c r="E191" s="28"/>
      <c r="F191" s="128"/>
      <c r="G191" s="28"/>
      <c r="H191" s="28"/>
      <c r="I191" s="28"/>
      <c r="J191" s="112"/>
      <c r="K191" s="112"/>
      <c r="L191" s="26"/>
      <c r="M191" s="112"/>
      <c r="N191" s="112"/>
      <c r="O191" s="128"/>
      <c r="P191" s="128"/>
      <c r="Q191" s="26"/>
      <c r="R191" s="23"/>
      <c r="S191" s="23"/>
      <c r="T191" s="32"/>
      <c r="U191" s="23"/>
      <c r="V191" s="36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8"/>
      <c r="B192" s="26"/>
      <c r="C192" s="28"/>
      <c r="D192" s="26"/>
      <c r="E192" s="28"/>
      <c r="F192" s="128"/>
      <c r="G192" s="28"/>
      <c r="H192" s="28"/>
      <c r="I192" s="28"/>
      <c r="J192" s="112"/>
      <c r="K192" s="112"/>
      <c r="L192" s="26"/>
      <c r="M192" s="112"/>
      <c r="N192" s="112"/>
      <c r="O192" s="128"/>
      <c r="P192" s="128"/>
      <c r="Q192" s="26"/>
      <c r="R192" s="23"/>
      <c r="S192" s="23"/>
      <c r="T192" s="32"/>
      <c r="U192" s="23"/>
      <c r="V192" s="36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8"/>
      <c r="B193" s="26"/>
      <c r="C193" s="28"/>
      <c r="D193" s="26"/>
      <c r="E193" s="28"/>
      <c r="F193" s="128"/>
      <c r="G193" s="28"/>
      <c r="H193" s="28"/>
      <c r="I193" s="28"/>
      <c r="J193" s="112"/>
      <c r="K193" s="112"/>
      <c r="L193" s="26"/>
      <c r="M193" s="112"/>
      <c r="N193" s="112"/>
      <c r="O193" s="128"/>
      <c r="P193" s="128"/>
      <c r="Q193" s="26"/>
      <c r="R193" s="23"/>
      <c r="S193" s="23"/>
      <c r="T193" s="32"/>
      <c r="U193" s="23"/>
      <c r="V193" s="33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8"/>
      <c r="B194" s="26"/>
      <c r="C194" s="28"/>
      <c r="D194" s="26"/>
      <c r="E194" s="28"/>
      <c r="F194" s="128"/>
      <c r="G194" s="28"/>
      <c r="H194" s="28"/>
      <c r="I194" s="28"/>
      <c r="J194" s="112"/>
      <c r="K194" s="112"/>
      <c r="L194" s="26"/>
      <c r="M194" s="112"/>
      <c r="N194" s="112"/>
      <c r="O194" s="128"/>
      <c r="P194" s="128"/>
      <c r="Q194" s="26"/>
      <c r="R194" s="23"/>
      <c r="S194" s="23"/>
      <c r="T194" s="32"/>
      <c r="U194" s="23"/>
      <c r="V194" s="33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8"/>
      <c r="B195" s="26"/>
      <c r="C195" s="28"/>
      <c r="D195" s="26"/>
      <c r="E195" s="28"/>
      <c r="F195" s="128"/>
      <c r="G195" s="28"/>
      <c r="H195" s="28"/>
      <c r="I195" s="28"/>
      <c r="J195" s="112"/>
      <c r="K195" s="112"/>
      <c r="L195" s="26"/>
      <c r="M195" s="112"/>
      <c r="N195" s="112"/>
      <c r="O195" s="128"/>
      <c r="P195" s="128"/>
      <c r="Q195" s="26"/>
      <c r="R195" s="23"/>
      <c r="S195" s="23"/>
      <c r="T195" s="32"/>
      <c r="U195" s="23"/>
      <c r="V195" s="33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8"/>
      <c r="B196" s="26"/>
      <c r="C196" s="28"/>
      <c r="D196" s="26"/>
      <c r="E196" s="28"/>
      <c r="F196" s="128"/>
      <c r="G196" s="28"/>
      <c r="H196" s="28"/>
      <c r="I196" s="28"/>
      <c r="J196" s="112"/>
      <c r="K196" s="112"/>
      <c r="L196" s="26"/>
      <c r="M196" s="112"/>
      <c r="N196" s="112"/>
      <c r="O196" s="128"/>
      <c r="P196" s="128"/>
      <c r="Q196" s="26"/>
      <c r="R196" s="23"/>
      <c r="S196" s="23"/>
      <c r="T196" s="32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8"/>
      <c r="B197" s="26"/>
      <c r="C197" s="28"/>
      <c r="D197" s="26"/>
      <c r="E197" s="28"/>
      <c r="F197" s="128"/>
      <c r="G197" s="28"/>
      <c r="H197" s="28"/>
      <c r="I197" s="28"/>
      <c r="J197" s="112"/>
      <c r="K197" s="112"/>
      <c r="L197" s="26"/>
      <c r="M197" s="112"/>
      <c r="N197" s="112"/>
      <c r="O197" s="128"/>
      <c r="P197" s="128"/>
      <c r="Q197" s="26"/>
      <c r="R197" s="23"/>
      <c r="S197" s="23"/>
      <c r="T197" s="32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8"/>
      <c r="B198" s="26"/>
      <c r="C198" s="28"/>
      <c r="D198" s="26"/>
      <c r="E198" s="28"/>
      <c r="F198" s="128"/>
      <c r="G198" s="28"/>
      <c r="H198" s="28"/>
      <c r="I198" s="28"/>
      <c r="J198" s="112"/>
      <c r="K198" s="112"/>
      <c r="L198" s="26"/>
      <c r="M198" s="112"/>
      <c r="N198" s="112"/>
      <c r="O198" s="128"/>
      <c r="P198" s="128"/>
      <c r="Q198" s="26"/>
      <c r="R198" s="23"/>
      <c r="S198" s="23"/>
      <c r="T198" s="32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8"/>
      <c r="B199" s="26"/>
      <c r="C199" s="28"/>
      <c r="D199" s="26"/>
      <c r="E199" s="28"/>
      <c r="F199" s="128"/>
      <c r="G199" s="28"/>
      <c r="H199" s="28"/>
      <c r="I199" s="28"/>
      <c r="J199" s="112"/>
      <c r="K199" s="112"/>
      <c r="L199" s="26"/>
      <c r="M199" s="112"/>
      <c r="N199" s="112"/>
      <c r="O199" s="128"/>
      <c r="P199" s="128"/>
      <c r="Q199" s="26"/>
      <c r="R199" s="23"/>
      <c r="S199" s="23"/>
      <c r="T199" s="32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8"/>
      <c r="B200" s="26"/>
      <c r="C200" s="28"/>
      <c r="D200" s="26"/>
      <c r="E200" s="28"/>
      <c r="F200" s="128"/>
      <c r="G200" s="28"/>
      <c r="H200" s="28"/>
      <c r="I200" s="28"/>
      <c r="J200" s="112"/>
      <c r="K200" s="112"/>
      <c r="L200" s="26"/>
      <c r="M200" s="112"/>
      <c r="N200" s="112"/>
      <c r="O200" s="128"/>
      <c r="P200" s="128"/>
      <c r="Q200" s="26"/>
      <c r="R200" s="23"/>
      <c r="S200" s="23"/>
      <c r="T200" s="32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8"/>
      <c r="B201" s="26"/>
      <c r="C201" s="28"/>
      <c r="D201" s="26"/>
      <c r="E201" s="28"/>
      <c r="F201" s="128"/>
      <c r="G201" s="28"/>
      <c r="H201" s="28"/>
      <c r="I201" s="28"/>
      <c r="J201" s="112"/>
      <c r="K201" s="112"/>
      <c r="L201" s="26"/>
      <c r="M201" s="112"/>
      <c r="N201" s="112"/>
      <c r="O201" s="128"/>
      <c r="P201" s="128"/>
      <c r="Q201" s="26"/>
      <c r="R201" s="23"/>
      <c r="S201" s="23"/>
      <c r="T201" s="32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8"/>
      <c r="B202" s="26"/>
      <c r="C202" s="28"/>
      <c r="D202" s="26"/>
      <c r="E202" s="28"/>
      <c r="F202" s="128"/>
      <c r="G202" s="28"/>
      <c r="H202" s="28"/>
      <c r="I202" s="28"/>
      <c r="J202" s="112"/>
      <c r="K202" s="112"/>
      <c r="L202" s="26"/>
      <c r="M202" s="112"/>
      <c r="N202" s="112"/>
      <c r="O202" s="128"/>
      <c r="P202" s="128"/>
      <c r="Q202" s="26"/>
      <c r="R202" s="23"/>
      <c r="S202" s="23"/>
      <c r="T202" s="32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8"/>
      <c r="B203" s="26"/>
      <c r="C203" s="28"/>
      <c r="D203" s="26"/>
      <c r="E203" s="28"/>
      <c r="F203" s="128"/>
      <c r="G203" s="28"/>
      <c r="H203" s="28"/>
      <c r="I203" s="28"/>
      <c r="J203" s="112"/>
      <c r="K203" s="112"/>
      <c r="L203" s="26"/>
      <c r="M203" s="112"/>
      <c r="N203" s="112"/>
      <c r="O203" s="128"/>
      <c r="P203" s="128"/>
      <c r="Q203" s="26"/>
      <c r="R203" s="23"/>
      <c r="S203" s="23"/>
      <c r="T203" s="32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8"/>
      <c r="B204" s="26"/>
      <c r="C204" s="28"/>
      <c r="D204" s="26"/>
      <c r="E204" s="28"/>
      <c r="F204" s="128"/>
      <c r="G204" s="28"/>
      <c r="H204" s="28"/>
      <c r="I204" s="28"/>
      <c r="J204" s="112"/>
      <c r="K204" s="112"/>
      <c r="L204" s="26"/>
      <c r="M204" s="112"/>
      <c r="N204" s="112"/>
      <c r="O204" s="128"/>
      <c r="P204" s="128"/>
      <c r="Q204" s="26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8"/>
      <c r="B205" s="26"/>
      <c r="C205" s="28"/>
      <c r="D205" s="26"/>
      <c r="E205" s="28"/>
      <c r="F205" s="128"/>
      <c r="G205" s="28"/>
      <c r="H205" s="28"/>
      <c r="I205" s="28"/>
      <c r="J205" s="112"/>
      <c r="K205" s="112"/>
      <c r="L205" s="26"/>
      <c r="M205" s="112"/>
      <c r="N205" s="112"/>
      <c r="O205" s="128"/>
      <c r="P205" s="128"/>
      <c r="Q205" s="26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8"/>
      <c r="B206" s="26"/>
      <c r="C206" s="28"/>
      <c r="D206" s="26"/>
      <c r="E206" s="28"/>
      <c r="F206" s="128"/>
      <c r="G206" s="28"/>
      <c r="H206" s="28"/>
      <c r="I206" s="28"/>
      <c r="J206" s="112"/>
      <c r="K206" s="112"/>
      <c r="L206" s="26"/>
      <c r="M206" s="112"/>
      <c r="N206" s="112"/>
      <c r="O206" s="128"/>
      <c r="P206" s="128"/>
      <c r="Q206" s="2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8"/>
      <c r="B207" s="26"/>
      <c r="C207" s="28"/>
      <c r="D207" s="26"/>
      <c r="E207" s="28"/>
      <c r="F207" s="128"/>
      <c r="G207" s="28"/>
      <c r="I207" s="28"/>
      <c r="J207" s="112"/>
      <c r="K207" s="112"/>
      <c r="L207" s="26"/>
      <c r="M207" s="112"/>
      <c r="N207" s="112"/>
      <c r="O207" s="128"/>
      <c r="P207" s="128"/>
      <c r="Q207" s="26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8"/>
      <c r="B208" s="26"/>
      <c r="C208" s="28"/>
      <c r="D208" s="26"/>
      <c r="E208" s="28"/>
      <c r="F208" s="128"/>
      <c r="G208" s="28"/>
      <c r="I208" s="28"/>
      <c r="J208" s="112"/>
      <c r="K208" s="112"/>
      <c r="L208" s="26"/>
      <c r="M208" s="112"/>
      <c r="N208" s="112"/>
      <c r="O208" s="128"/>
      <c r="P208" s="128"/>
      <c r="Q208" s="26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2" customFormat="1" x14ac:dyDescent="0.2">
      <c r="A209" s="28"/>
      <c r="B209" s="26"/>
      <c r="C209" s="28"/>
      <c r="D209" s="26"/>
      <c r="E209" s="28"/>
      <c r="F209" s="128"/>
      <c r="G209" s="28"/>
      <c r="H209" s="2"/>
      <c r="I209" s="28"/>
      <c r="J209" s="112"/>
      <c r="K209" s="112"/>
      <c r="L209" s="26"/>
      <c r="M209" s="112"/>
      <c r="N209" s="112"/>
      <c r="O209" s="128"/>
      <c r="P209" s="128"/>
      <c r="Q209" s="26"/>
      <c r="R209" s="23"/>
      <c r="S209" s="23"/>
    </row>
    <row r="210" spans="1:42" s="32" customFormat="1" x14ac:dyDescent="0.2">
      <c r="A210" s="28"/>
      <c r="B210" s="26"/>
      <c r="C210" s="28"/>
      <c r="D210" s="26"/>
      <c r="E210" s="28"/>
      <c r="F210" s="128"/>
      <c r="G210" s="28"/>
      <c r="H210" s="2"/>
      <c r="I210" s="28"/>
      <c r="J210" s="112"/>
      <c r="K210" s="112"/>
      <c r="L210" s="26"/>
      <c r="M210" s="112"/>
      <c r="N210" s="112"/>
      <c r="O210" s="128"/>
      <c r="P210" s="128"/>
      <c r="Q210" s="26"/>
      <c r="R210" s="23"/>
      <c r="S210" s="23"/>
    </row>
    <row r="211" spans="1:42" s="32" customFormat="1" x14ac:dyDescent="0.2">
      <c r="A211" s="28"/>
      <c r="B211" s="26"/>
      <c r="C211" s="28"/>
      <c r="D211" s="26"/>
      <c r="E211" s="28"/>
      <c r="F211" s="128"/>
      <c r="G211" s="28"/>
      <c r="H211" s="2"/>
      <c r="I211" s="28"/>
      <c r="J211" s="112"/>
      <c r="K211" s="112"/>
      <c r="L211" s="26"/>
      <c r="M211" s="112"/>
      <c r="N211" s="89"/>
      <c r="O211" s="128"/>
      <c r="P211" s="128"/>
      <c r="Q211" s="26"/>
      <c r="R211" s="23"/>
      <c r="S211" s="23"/>
      <c r="T211" s="55"/>
    </row>
    <row r="212" spans="1:42" s="32" customFormat="1" x14ac:dyDescent="0.2">
      <c r="A212" s="28"/>
      <c r="B212" s="26"/>
      <c r="C212" s="28"/>
      <c r="D212" s="26"/>
      <c r="E212" s="28"/>
      <c r="F212" s="123"/>
      <c r="G212" s="28"/>
      <c r="H212" s="2"/>
      <c r="I212" s="28"/>
      <c r="J212" s="112"/>
      <c r="K212" s="112"/>
      <c r="L212" s="26"/>
      <c r="M212" s="112"/>
      <c r="N212" s="89"/>
      <c r="O212" s="128"/>
      <c r="P212" s="128"/>
      <c r="Q212" s="26"/>
      <c r="R212" s="23"/>
      <c r="S212" s="23"/>
      <c r="T212" s="26"/>
    </row>
    <row r="213" spans="1:42" s="32" customFormat="1" x14ac:dyDescent="0.2">
      <c r="A213" s="28"/>
      <c r="B213" s="26"/>
      <c r="C213" s="28"/>
      <c r="D213" s="26"/>
      <c r="E213" s="28"/>
      <c r="F213" s="123"/>
      <c r="G213" s="28"/>
      <c r="H213" s="2"/>
      <c r="I213" s="28"/>
      <c r="J213" s="112"/>
      <c r="K213" s="112"/>
      <c r="L213" s="26"/>
      <c r="M213" s="112"/>
      <c r="N213" s="89"/>
      <c r="O213" s="128"/>
      <c r="P213" s="128"/>
      <c r="Q213" s="26"/>
      <c r="R213" s="23"/>
      <c r="S213" s="23"/>
      <c r="T213" s="26"/>
    </row>
    <row r="214" spans="1:42" s="32" customFormat="1" x14ac:dyDescent="0.2">
      <c r="A214" s="28"/>
      <c r="B214" s="26"/>
      <c r="C214" s="28"/>
      <c r="D214" s="26"/>
      <c r="E214" s="28"/>
      <c r="F214" s="123"/>
      <c r="G214" s="28"/>
      <c r="H214" s="2"/>
      <c r="I214" s="28"/>
      <c r="J214" s="112"/>
      <c r="K214" s="112"/>
      <c r="L214" s="26"/>
      <c r="M214" s="112"/>
      <c r="N214" s="89"/>
      <c r="O214" s="128"/>
      <c r="P214" s="128"/>
      <c r="Q214" s="26"/>
      <c r="R214" s="23"/>
      <c r="S214" s="23"/>
      <c r="T214" s="26"/>
    </row>
    <row r="215" spans="1:42" s="32" customFormat="1" x14ac:dyDescent="0.2">
      <c r="A215" s="28"/>
      <c r="B215" s="26"/>
      <c r="C215" s="28"/>
      <c r="D215" s="26"/>
      <c r="E215" s="28"/>
      <c r="F215" s="123"/>
      <c r="G215" s="28"/>
      <c r="H215" s="2"/>
      <c r="I215" s="28"/>
      <c r="J215" s="112"/>
      <c r="K215" s="112"/>
      <c r="L215" s="26"/>
      <c r="M215" s="112"/>
      <c r="N215" s="89"/>
      <c r="O215" s="128"/>
      <c r="P215" s="128"/>
      <c r="Q215" s="3"/>
      <c r="R215" s="23"/>
      <c r="S215" s="23"/>
      <c r="T215" s="26"/>
    </row>
    <row r="216" spans="1:42" s="32" customFormat="1" x14ac:dyDescent="0.2">
      <c r="A216" s="2"/>
      <c r="B216" s="26"/>
      <c r="C216" s="28"/>
      <c r="D216" s="26"/>
      <c r="E216" s="28"/>
      <c r="F216" s="123"/>
      <c r="G216" s="28"/>
      <c r="H216" s="2"/>
      <c r="I216" s="28"/>
      <c r="J216" s="112"/>
      <c r="K216" s="112"/>
      <c r="L216" s="26"/>
      <c r="M216" s="112"/>
      <c r="N216" s="89"/>
      <c r="O216" s="128"/>
      <c r="P216" s="128"/>
      <c r="Q216" s="3"/>
      <c r="R216" s="23"/>
      <c r="S216" s="23"/>
      <c r="T216" s="26"/>
    </row>
    <row r="217" spans="1:42" s="32" customFormat="1" x14ac:dyDescent="0.2">
      <c r="A217" s="2"/>
      <c r="B217" s="26"/>
      <c r="C217" s="28"/>
      <c r="D217" s="26"/>
      <c r="E217" s="28"/>
      <c r="F217" s="123"/>
      <c r="G217" s="28"/>
      <c r="H217" s="2"/>
      <c r="I217" s="28"/>
      <c r="J217" s="112"/>
      <c r="K217" s="112"/>
      <c r="L217" s="26"/>
      <c r="M217" s="112"/>
      <c r="N217" s="89"/>
      <c r="O217" s="123"/>
      <c r="P217" s="123"/>
      <c r="Q217" s="3"/>
      <c r="R217" s="23"/>
      <c r="S217" s="23"/>
      <c r="T217" s="26"/>
    </row>
    <row r="218" spans="1:42" s="32" customFormat="1" x14ac:dyDescent="0.2">
      <c r="A218" s="2"/>
      <c r="B218" s="26"/>
      <c r="C218" s="28"/>
      <c r="D218" s="26"/>
      <c r="E218" s="28"/>
      <c r="F218" s="123"/>
      <c r="G218" s="2"/>
      <c r="H218" s="2"/>
      <c r="I218" s="28"/>
      <c r="J218" s="112"/>
      <c r="K218" s="112"/>
      <c r="L218" s="26"/>
      <c r="M218" s="112"/>
      <c r="N218" s="89"/>
      <c r="O218" s="123"/>
      <c r="P218" s="123"/>
      <c r="Q218" s="3"/>
      <c r="R218" s="23"/>
      <c r="S218" s="23"/>
      <c r="T218" s="26"/>
    </row>
    <row r="219" spans="1:42" s="32" customFormat="1" x14ac:dyDescent="0.2">
      <c r="A219" s="2"/>
      <c r="B219" s="26"/>
      <c r="C219" s="28"/>
      <c r="D219" s="26"/>
      <c r="E219" s="28"/>
      <c r="F219" s="123"/>
      <c r="G219" s="2"/>
      <c r="H219" s="2"/>
      <c r="I219" s="28"/>
      <c r="J219" s="112"/>
      <c r="K219" s="112"/>
      <c r="L219" s="26"/>
      <c r="M219" s="112"/>
      <c r="N219" s="89"/>
      <c r="O219" s="123"/>
      <c r="P219" s="123"/>
      <c r="Q219" s="3"/>
      <c r="R219" s="23"/>
      <c r="S219" s="23"/>
      <c r="T219" s="26"/>
    </row>
    <row r="220" spans="1:42" s="32" customFormat="1" x14ac:dyDescent="0.2">
      <c r="A220" s="2"/>
      <c r="B220" s="26"/>
      <c r="C220" s="28"/>
      <c r="D220" s="26"/>
      <c r="E220" s="28"/>
      <c r="F220" s="123"/>
      <c r="G220" s="2"/>
      <c r="H220" s="2"/>
      <c r="I220" s="28"/>
      <c r="J220" s="112"/>
      <c r="K220" s="112"/>
      <c r="L220" s="26"/>
      <c r="M220" s="112"/>
      <c r="N220" s="89"/>
      <c r="O220" s="123"/>
      <c r="P220" s="123"/>
      <c r="Q220" s="3"/>
      <c r="R220" s="23"/>
      <c r="S220" s="23"/>
      <c r="T220" s="26"/>
    </row>
    <row r="221" spans="1:42" s="1" customFormat="1" x14ac:dyDescent="0.2">
      <c r="A221" s="2"/>
      <c r="B221" s="3"/>
      <c r="C221" s="2"/>
      <c r="D221" s="3"/>
      <c r="E221" s="2"/>
      <c r="F221" s="123"/>
      <c r="G221" s="2"/>
      <c r="H221" s="2"/>
      <c r="I221" s="2"/>
      <c r="J221" s="89"/>
      <c r="K221" s="89"/>
      <c r="L221" s="3"/>
      <c r="M221" s="89"/>
      <c r="N221" s="89"/>
      <c r="O221" s="123"/>
      <c r="P221" s="123"/>
      <c r="Q221" s="3"/>
      <c r="R221" s="4"/>
      <c r="S221" s="4"/>
      <c r="T221" s="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1" customFormat="1" x14ac:dyDescent="0.2">
      <c r="A222" s="2"/>
      <c r="B222" s="3"/>
      <c r="C222" s="2"/>
      <c r="D222" s="3"/>
      <c r="E222" s="2"/>
      <c r="F222" s="123"/>
      <c r="G222" s="2"/>
      <c r="H222" s="2"/>
      <c r="I222" s="2"/>
      <c r="J222" s="89"/>
      <c r="K222" s="89"/>
      <c r="L222" s="3"/>
      <c r="M222" s="89"/>
      <c r="N222" s="89"/>
      <c r="O222" s="123"/>
      <c r="P222" s="123"/>
      <c r="Q222" s="3"/>
      <c r="R222" s="4"/>
      <c r="S222" s="4"/>
      <c r="T222" s="2"/>
      <c r="U222" s="31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1" customFormat="1" x14ac:dyDescent="0.2">
      <c r="A223" s="2"/>
      <c r="B223" s="3"/>
      <c r="C223" s="2"/>
      <c r="D223" s="3"/>
      <c r="E223" s="2"/>
      <c r="F223" s="123"/>
      <c r="G223" s="2"/>
      <c r="H223" s="2"/>
      <c r="I223" s="2"/>
      <c r="J223" s="89"/>
      <c r="K223" s="89"/>
      <c r="L223" s="3"/>
      <c r="M223" s="89"/>
      <c r="N223" s="89"/>
      <c r="O223" s="123"/>
      <c r="P223" s="123"/>
      <c r="Q223" s="3"/>
      <c r="R223" s="4"/>
      <c r="S223" s="4"/>
      <c r="T223" s="2"/>
      <c r="U223" s="31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1" customFormat="1" x14ac:dyDescent="0.2">
      <c r="A224" s="2"/>
      <c r="B224" s="3"/>
      <c r="C224" s="2"/>
      <c r="D224" s="3"/>
      <c r="E224" s="2"/>
      <c r="F224" s="123"/>
      <c r="G224" s="2"/>
      <c r="H224" s="2"/>
      <c r="I224" s="2"/>
      <c r="J224" s="89"/>
      <c r="K224" s="89"/>
      <c r="L224" s="3"/>
      <c r="M224" s="89"/>
      <c r="N224" s="89"/>
      <c r="O224" s="123"/>
      <c r="P224" s="123"/>
      <c r="Q224" s="3"/>
      <c r="R224" s="4"/>
      <c r="S224" s="4"/>
      <c r="T224" s="2"/>
      <c r="U224" s="31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1" customFormat="1" x14ac:dyDescent="0.2">
      <c r="A225" s="2"/>
      <c r="B225" s="3"/>
      <c r="C225" s="2"/>
      <c r="D225" s="3"/>
      <c r="E225" s="2"/>
      <c r="F225" s="123"/>
      <c r="G225" s="2"/>
      <c r="H225" s="2"/>
      <c r="I225" s="2"/>
      <c r="J225" s="89"/>
      <c r="K225" s="89"/>
      <c r="L225" s="3"/>
      <c r="M225" s="89"/>
      <c r="N225" s="89"/>
      <c r="O225" s="123"/>
      <c r="P225" s="123"/>
      <c r="Q225" s="3"/>
      <c r="R225" s="3"/>
      <c r="S225" s="3"/>
      <c r="T225" s="22"/>
      <c r="U225" s="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1" customFormat="1" x14ac:dyDescent="0.2">
      <c r="A226" s="2"/>
      <c r="B226" s="3"/>
      <c r="C226" s="2"/>
      <c r="D226" s="3"/>
      <c r="E226" s="2"/>
      <c r="F226" s="123"/>
      <c r="G226" s="2"/>
      <c r="H226" s="2"/>
      <c r="I226" s="2"/>
      <c r="J226" s="89"/>
      <c r="K226" s="89"/>
      <c r="L226" s="3"/>
      <c r="M226" s="89"/>
      <c r="N226" s="89"/>
      <c r="O226" s="123"/>
      <c r="P226" s="123"/>
      <c r="Q226" s="3"/>
      <c r="R226" s="3"/>
      <c r="S226" s="3"/>
      <c r="T226" s="2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1" customFormat="1" x14ac:dyDescent="0.2">
      <c r="A227" s="2"/>
      <c r="B227" s="3"/>
      <c r="C227" s="2"/>
      <c r="D227" s="3"/>
      <c r="E227" s="2"/>
      <c r="F227" s="123"/>
      <c r="G227" s="2"/>
      <c r="H227" s="2"/>
      <c r="I227" s="2"/>
      <c r="J227" s="89"/>
      <c r="K227" s="89"/>
      <c r="L227" s="3"/>
      <c r="M227" s="89"/>
      <c r="N227" s="89"/>
      <c r="O227" s="123"/>
      <c r="P227" s="123"/>
      <c r="Q227" s="3"/>
      <c r="R227" s="3"/>
      <c r="S227" s="3"/>
      <c r="T227" s="2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1" customFormat="1" x14ac:dyDescent="0.2">
      <c r="A228" s="2"/>
      <c r="B228" s="3"/>
      <c r="C228" s="2"/>
      <c r="D228" s="3"/>
      <c r="E228" s="2"/>
      <c r="F228" s="123"/>
      <c r="G228" s="2"/>
      <c r="H228" s="2"/>
      <c r="I228" s="2"/>
      <c r="J228" s="89"/>
      <c r="K228" s="89"/>
      <c r="L228" s="3"/>
      <c r="M228" s="89"/>
      <c r="N228" s="89"/>
      <c r="O228" s="123"/>
      <c r="P228" s="123"/>
      <c r="Q228" s="3"/>
      <c r="R228" s="3"/>
      <c r="S228" s="3"/>
      <c r="T228" s="2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1" customFormat="1" x14ac:dyDescent="0.2">
      <c r="A229" s="2"/>
      <c r="B229" s="3"/>
      <c r="C229" s="2"/>
      <c r="D229" s="3"/>
      <c r="E229" s="2"/>
      <c r="F229" s="123"/>
      <c r="G229" s="2"/>
      <c r="H229" s="2"/>
      <c r="I229" s="2"/>
      <c r="J229" s="89"/>
      <c r="K229" s="89"/>
      <c r="L229" s="3"/>
      <c r="M229" s="89"/>
      <c r="N229" s="89"/>
      <c r="O229" s="123"/>
      <c r="P229" s="123"/>
      <c r="Q229" s="3"/>
      <c r="R229" s="3"/>
      <c r="S229" s="3"/>
      <c r="T229" s="2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x14ac:dyDescent="0.2">
      <c r="AG230" s="32"/>
      <c r="AH230" s="32"/>
      <c r="AI230" s="32"/>
    </row>
    <row r="234" spans="1:42" x14ac:dyDescent="0.2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x14ac:dyDescent="0.2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x14ac:dyDescent="0.2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x14ac:dyDescent="0.2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x14ac:dyDescent="0.2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x14ac:dyDescent="0.2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x14ac:dyDescent="0.2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x14ac:dyDescent="0.2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x14ac:dyDescent="0.2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x14ac:dyDescent="0.2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x14ac:dyDescent="0.2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x14ac:dyDescent="0.2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x14ac:dyDescent="0.2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x14ac:dyDescent="0.2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x14ac:dyDescent="0.2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x14ac:dyDescent="0.2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x14ac:dyDescent="0.2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x14ac:dyDescent="0.2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x14ac:dyDescent="0.2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x14ac:dyDescent="0.2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x14ac:dyDescent="0.2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x14ac:dyDescent="0.2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x14ac:dyDescent="0.2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x14ac:dyDescent="0.2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x14ac:dyDescent="0.2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x14ac:dyDescent="0.2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x14ac:dyDescent="0.2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x14ac:dyDescent="0.2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x14ac:dyDescent="0.2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x14ac:dyDescent="0.2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x14ac:dyDescent="0.2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x14ac:dyDescent="0.2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x14ac:dyDescent="0.2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x14ac:dyDescent="0.2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x14ac:dyDescent="0.2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x14ac:dyDescent="0.2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x14ac:dyDescent="0.2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x14ac:dyDescent="0.2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x14ac:dyDescent="0.2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x14ac:dyDescent="0.2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x14ac:dyDescent="0.2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x14ac:dyDescent="0.2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x14ac:dyDescent="0.2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x14ac:dyDescent="0.2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x14ac:dyDescent="0.2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x14ac:dyDescent="0.2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x14ac:dyDescent="0.2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x14ac:dyDescent="0.2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x14ac:dyDescent="0.2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x14ac:dyDescent="0.2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x14ac:dyDescent="0.2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x14ac:dyDescent="0.2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x14ac:dyDescent="0.2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x14ac:dyDescent="0.2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x14ac:dyDescent="0.2">
      <c r="B295" s="2"/>
      <c r="D295" s="2"/>
      <c r="F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x14ac:dyDescent="0.2">
      <c r="B296" s="2"/>
      <c r="D296" s="2"/>
      <c r="F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x14ac:dyDescent="0.2">
      <c r="B297" s="2"/>
      <c r="D297" s="2"/>
      <c r="F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x14ac:dyDescent="0.2">
      <c r="B298" s="2"/>
      <c r="D298" s="2"/>
      <c r="F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x14ac:dyDescent="0.2">
      <c r="B299" s="2"/>
      <c r="D299" s="2"/>
      <c r="F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x14ac:dyDescent="0.2">
      <c r="B300" s="2"/>
      <c r="D300" s="2"/>
      <c r="F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x14ac:dyDescent="0.2">
      <c r="B301" s="2"/>
      <c r="D301" s="2"/>
      <c r="F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x14ac:dyDescent="0.2">
      <c r="B302" s="2"/>
      <c r="D302" s="2"/>
      <c r="F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x14ac:dyDescent="0.2">
      <c r="B303" s="2"/>
      <c r="D303" s="2"/>
      <c r="F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x14ac:dyDescent="0.2">
      <c r="B304" s="2"/>
      <c r="D304" s="2"/>
      <c r="F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x14ac:dyDescent="0.2">
      <c r="B305" s="2"/>
      <c r="D305" s="2"/>
      <c r="F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x14ac:dyDescent="0.2">
      <c r="B306" s="2"/>
      <c r="D306" s="2"/>
      <c r="F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x14ac:dyDescent="0.2">
      <c r="B307" s="2"/>
      <c r="D307" s="2"/>
      <c r="F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x14ac:dyDescent="0.2">
      <c r="B308" s="2"/>
      <c r="D308" s="2"/>
      <c r="F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x14ac:dyDescent="0.2">
      <c r="B309" s="2"/>
      <c r="D309" s="2"/>
      <c r="F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x14ac:dyDescent="0.2">
      <c r="B310" s="2"/>
      <c r="D310" s="2"/>
      <c r="F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x14ac:dyDescent="0.2">
      <c r="B311" s="2"/>
      <c r="D311" s="2"/>
      <c r="F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x14ac:dyDescent="0.2">
      <c r="B312" s="2"/>
      <c r="D312" s="2"/>
      <c r="F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x14ac:dyDescent="0.2">
      <c r="B313" s="2"/>
      <c r="D313" s="2"/>
      <c r="F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x14ac:dyDescent="0.2">
      <c r="B314" s="2"/>
      <c r="D314" s="2"/>
      <c r="F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x14ac:dyDescent="0.2">
      <c r="B315" s="2"/>
      <c r="D315" s="2"/>
      <c r="F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x14ac:dyDescent="0.2">
      <c r="B316" s="2"/>
      <c r="D316" s="2"/>
      <c r="F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x14ac:dyDescent="0.2">
      <c r="B317" s="2"/>
      <c r="D317" s="2"/>
      <c r="F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</sheetData>
  <mergeCells count="420">
    <mergeCell ref="T31:T32"/>
    <mergeCell ref="N31:N32"/>
    <mergeCell ref="O31:O32"/>
    <mergeCell ref="A1:H1"/>
    <mergeCell ref="D20:F20"/>
    <mergeCell ref="D21:F21"/>
    <mergeCell ref="D22:F22"/>
    <mergeCell ref="D25:F25"/>
    <mergeCell ref="D26:F26"/>
    <mergeCell ref="Q29:Q30"/>
    <mergeCell ref="R29:R30"/>
    <mergeCell ref="S29:S30"/>
    <mergeCell ref="P31:P32"/>
    <mergeCell ref="Q31:Q32"/>
    <mergeCell ref="L33:L34"/>
    <mergeCell ref="L31:L32"/>
    <mergeCell ref="M31:M32"/>
    <mergeCell ref="T29:T30"/>
    <mergeCell ref="A31:A32"/>
    <mergeCell ref="F31:F32"/>
    <mergeCell ref="G31:G32"/>
    <mergeCell ref="H31:H32"/>
    <mergeCell ref="I31:J32"/>
    <mergeCell ref="K31:K32"/>
    <mergeCell ref="K29:K30"/>
    <mergeCell ref="L29:L30"/>
    <mergeCell ref="M29:M30"/>
    <mergeCell ref="N29:N30"/>
    <mergeCell ref="O29:O30"/>
    <mergeCell ref="P29:P30"/>
    <mergeCell ref="A29:A30"/>
    <mergeCell ref="B29:C29"/>
    <mergeCell ref="D29:E29"/>
    <mergeCell ref="F29:G29"/>
    <mergeCell ref="H29:H30"/>
    <mergeCell ref="I29:J30"/>
    <mergeCell ref="R31:R32"/>
    <mergeCell ref="S31:S32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M35:M36"/>
    <mergeCell ref="M33:M34"/>
    <mergeCell ref="N33:N34"/>
    <mergeCell ref="O33:O34"/>
    <mergeCell ref="P33:P34"/>
    <mergeCell ref="Q33:Q34"/>
    <mergeCell ref="R33:R34"/>
    <mergeCell ref="A33:A34"/>
    <mergeCell ref="F33:F34"/>
    <mergeCell ref="G33:G34"/>
    <mergeCell ref="H33:H34"/>
    <mergeCell ref="I33:J34"/>
    <mergeCell ref="K33:K34"/>
    <mergeCell ref="T35:T36"/>
    <mergeCell ref="N35:N36"/>
    <mergeCell ref="A37:A38"/>
    <mergeCell ref="F37:F38"/>
    <mergeCell ref="G37:G38"/>
    <mergeCell ref="H37:H38"/>
    <mergeCell ref="I37:J38"/>
    <mergeCell ref="K37:K38"/>
    <mergeCell ref="L37:L38"/>
    <mergeCell ref="M37:M38"/>
    <mergeCell ref="N37:N38"/>
    <mergeCell ref="O35:O36"/>
    <mergeCell ref="P35:P36"/>
    <mergeCell ref="Q35:Q36"/>
    <mergeCell ref="R35:R36"/>
    <mergeCell ref="S35:S36"/>
    <mergeCell ref="K39:K40"/>
    <mergeCell ref="S41:S42"/>
    <mergeCell ref="T41:T42"/>
    <mergeCell ref="O37:O38"/>
    <mergeCell ref="P37:P38"/>
    <mergeCell ref="Q37:Q38"/>
    <mergeCell ref="R37:R38"/>
    <mergeCell ref="S37:S38"/>
    <mergeCell ref="T37:T38"/>
    <mergeCell ref="N41:N42"/>
    <mergeCell ref="O41:O42"/>
    <mergeCell ref="P41:P42"/>
    <mergeCell ref="Q41:Q42"/>
    <mergeCell ref="R41:R42"/>
    <mergeCell ref="L43:L44"/>
    <mergeCell ref="M43:M44"/>
    <mergeCell ref="M41:M42"/>
    <mergeCell ref="R39:R40"/>
    <mergeCell ref="S39:S40"/>
    <mergeCell ref="T39:T40"/>
    <mergeCell ref="A41:A42"/>
    <mergeCell ref="F41:F42"/>
    <mergeCell ref="G41:G42"/>
    <mergeCell ref="H41:H42"/>
    <mergeCell ref="I41:J42"/>
    <mergeCell ref="K41:K42"/>
    <mergeCell ref="L41:L42"/>
    <mergeCell ref="L39:L40"/>
    <mergeCell ref="M39:M40"/>
    <mergeCell ref="N39:N40"/>
    <mergeCell ref="O39:O40"/>
    <mergeCell ref="P39:P40"/>
    <mergeCell ref="Q39:Q40"/>
    <mergeCell ref="A39:A40"/>
    <mergeCell ref="F39:F40"/>
    <mergeCell ref="G39:G40"/>
    <mergeCell ref="H39:H40"/>
    <mergeCell ref="I39:J40"/>
    <mergeCell ref="O45:O46"/>
    <mergeCell ref="P45:P46"/>
    <mergeCell ref="Q45:Q46"/>
    <mergeCell ref="R45:R46"/>
    <mergeCell ref="S45:S46"/>
    <mergeCell ref="T45:T46"/>
    <mergeCell ref="T43:T44"/>
    <mergeCell ref="A45:A46"/>
    <mergeCell ref="F45:F46"/>
    <mergeCell ref="G45:G46"/>
    <mergeCell ref="H45:H46"/>
    <mergeCell ref="I45:J46"/>
    <mergeCell ref="K45:K46"/>
    <mergeCell ref="L45:L46"/>
    <mergeCell ref="M45:M46"/>
    <mergeCell ref="N45:N46"/>
    <mergeCell ref="N43:N44"/>
    <mergeCell ref="O43:O44"/>
    <mergeCell ref="P43:P44"/>
    <mergeCell ref="Q43:Q44"/>
    <mergeCell ref="R43:R44"/>
    <mergeCell ref="S43:S44"/>
    <mergeCell ref="A43:A44"/>
    <mergeCell ref="F43:F44"/>
    <mergeCell ref="G43:G44"/>
    <mergeCell ref="H43:H44"/>
    <mergeCell ref="I43:J44"/>
    <mergeCell ref="K43:K44"/>
    <mergeCell ref="A49:A50"/>
    <mergeCell ref="F49:F50"/>
    <mergeCell ref="G49:G50"/>
    <mergeCell ref="H49:H50"/>
    <mergeCell ref="I49:J50"/>
    <mergeCell ref="K49:K50"/>
    <mergeCell ref="L49:L50"/>
    <mergeCell ref="L47:L48"/>
    <mergeCell ref="M47:M48"/>
    <mergeCell ref="A47:A48"/>
    <mergeCell ref="F47:F48"/>
    <mergeCell ref="G47:G48"/>
    <mergeCell ref="H47:H48"/>
    <mergeCell ref="I47:J48"/>
    <mergeCell ref="K47:K48"/>
    <mergeCell ref="H51:H52"/>
    <mergeCell ref="I51:J52"/>
    <mergeCell ref="K51:K52"/>
    <mergeCell ref="L51:L52"/>
    <mergeCell ref="M51:M52"/>
    <mergeCell ref="M49:M50"/>
    <mergeCell ref="R47:R48"/>
    <mergeCell ref="S47:S48"/>
    <mergeCell ref="T47:T48"/>
    <mergeCell ref="N47:N48"/>
    <mergeCell ref="O47:O48"/>
    <mergeCell ref="P47:P48"/>
    <mergeCell ref="Q47:Q48"/>
    <mergeCell ref="S49:S50"/>
    <mergeCell ref="T49:T50"/>
    <mergeCell ref="N49:N50"/>
    <mergeCell ref="O49:O50"/>
    <mergeCell ref="P49:P50"/>
    <mergeCell ref="Q49:Q50"/>
    <mergeCell ref="R49:R50"/>
    <mergeCell ref="T51:T52"/>
    <mergeCell ref="N51:N52"/>
    <mergeCell ref="O51:O52"/>
    <mergeCell ref="P51:P52"/>
    <mergeCell ref="O53:O54"/>
    <mergeCell ref="P53:P54"/>
    <mergeCell ref="Q53:Q54"/>
    <mergeCell ref="R53:R54"/>
    <mergeCell ref="K55:K56"/>
    <mergeCell ref="S57:S58"/>
    <mergeCell ref="T57:T58"/>
    <mergeCell ref="S53:S54"/>
    <mergeCell ref="T53:T54"/>
    <mergeCell ref="T55:T56"/>
    <mergeCell ref="R57:R58"/>
    <mergeCell ref="A53:A54"/>
    <mergeCell ref="F53:F54"/>
    <mergeCell ref="G53:G54"/>
    <mergeCell ref="H53:H54"/>
    <mergeCell ref="I53:J54"/>
    <mergeCell ref="K53:K54"/>
    <mergeCell ref="L53:L54"/>
    <mergeCell ref="M53:M54"/>
    <mergeCell ref="N53:N54"/>
    <mergeCell ref="Q51:Q52"/>
    <mergeCell ref="R51:R52"/>
    <mergeCell ref="S51:S52"/>
    <mergeCell ref="A51:A52"/>
    <mergeCell ref="F51:F52"/>
    <mergeCell ref="G51:G52"/>
    <mergeCell ref="L59:L60"/>
    <mergeCell ref="M59:M60"/>
    <mergeCell ref="M57:M58"/>
    <mergeCell ref="R55:R56"/>
    <mergeCell ref="S55:S56"/>
    <mergeCell ref="A57:A58"/>
    <mergeCell ref="F57:F58"/>
    <mergeCell ref="G57:G58"/>
    <mergeCell ref="H57:H58"/>
    <mergeCell ref="I57:J58"/>
    <mergeCell ref="K57:K58"/>
    <mergeCell ref="L57:L58"/>
    <mergeCell ref="L55:L56"/>
    <mergeCell ref="M55:M56"/>
    <mergeCell ref="N55:N56"/>
    <mergeCell ref="O55:O56"/>
    <mergeCell ref="P55:P56"/>
    <mergeCell ref="Q55:Q56"/>
    <mergeCell ref="A55:A56"/>
    <mergeCell ref="F55:F56"/>
    <mergeCell ref="G55:G56"/>
    <mergeCell ref="H55:H56"/>
    <mergeCell ref="I55:J56"/>
    <mergeCell ref="N57:N58"/>
    <mergeCell ref="O57:O58"/>
    <mergeCell ref="P57:P58"/>
    <mergeCell ref="Q57:Q58"/>
    <mergeCell ref="O61:O62"/>
    <mergeCell ref="P61:P62"/>
    <mergeCell ref="Q61:Q62"/>
    <mergeCell ref="R61:R62"/>
    <mergeCell ref="S61:S62"/>
    <mergeCell ref="T61:T62"/>
    <mergeCell ref="T59:T60"/>
    <mergeCell ref="A61:A62"/>
    <mergeCell ref="F61:F62"/>
    <mergeCell ref="G61:G62"/>
    <mergeCell ref="H61:H62"/>
    <mergeCell ref="I61:J62"/>
    <mergeCell ref="K61:K62"/>
    <mergeCell ref="L61:L62"/>
    <mergeCell ref="M61:M62"/>
    <mergeCell ref="N61:N62"/>
    <mergeCell ref="N59:N60"/>
    <mergeCell ref="O59:O60"/>
    <mergeCell ref="P59:P60"/>
    <mergeCell ref="Q59:Q60"/>
    <mergeCell ref="R59:R60"/>
    <mergeCell ref="S59:S60"/>
    <mergeCell ref="A59:A60"/>
    <mergeCell ref="F59:F60"/>
    <mergeCell ref="G59:G60"/>
    <mergeCell ref="H59:H60"/>
    <mergeCell ref="I59:J60"/>
    <mergeCell ref="K59:K60"/>
    <mergeCell ref="A65:A66"/>
    <mergeCell ref="F65:F66"/>
    <mergeCell ref="G65:G66"/>
    <mergeCell ref="H65:H66"/>
    <mergeCell ref="I65:J66"/>
    <mergeCell ref="K65:K66"/>
    <mergeCell ref="L65:L66"/>
    <mergeCell ref="L63:L64"/>
    <mergeCell ref="M63:M64"/>
    <mergeCell ref="A63:A64"/>
    <mergeCell ref="F63:F64"/>
    <mergeCell ref="G63:G64"/>
    <mergeCell ref="H63:H64"/>
    <mergeCell ref="I63:J64"/>
    <mergeCell ref="K63:K64"/>
    <mergeCell ref="H67:H68"/>
    <mergeCell ref="I67:J68"/>
    <mergeCell ref="K67:K68"/>
    <mergeCell ref="L67:L68"/>
    <mergeCell ref="M67:M68"/>
    <mergeCell ref="M65:M66"/>
    <mergeCell ref="R63:R64"/>
    <mergeCell ref="S63:S64"/>
    <mergeCell ref="T63:T64"/>
    <mergeCell ref="N63:N64"/>
    <mergeCell ref="O63:O64"/>
    <mergeCell ref="P63:P64"/>
    <mergeCell ref="Q63:Q64"/>
    <mergeCell ref="S65:S66"/>
    <mergeCell ref="T65:T66"/>
    <mergeCell ref="N65:N66"/>
    <mergeCell ref="O65:O66"/>
    <mergeCell ref="P65:P66"/>
    <mergeCell ref="Q65:Q66"/>
    <mergeCell ref="R65:R66"/>
    <mergeCell ref="T67:T68"/>
    <mergeCell ref="N67:N68"/>
    <mergeCell ref="O67:O68"/>
    <mergeCell ref="P67:P68"/>
    <mergeCell ref="O69:O70"/>
    <mergeCell ref="P69:P70"/>
    <mergeCell ref="Q69:Q70"/>
    <mergeCell ref="R69:R70"/>
    <mergeCell ref="K71:K72"/>
    <mergeCell ref="S73:S74"/>
    <mergeCell ref="T73:T74"/>
    <mergeCell ref="S69:S70"/>
    <mergeCell ref="T69:T70"/>
    <mergeCell ref="T71:T72"/>
    <mergeCell ref="R73:R74"/>
    <mergeCell ref="A69:A70"/>
    <mergeCell ref="F69:F70"/>
    <mergeCell ref="G69:G70"/>
    <mergeCell ref="H69:H70"/>
    <mergeCell ref="I69:J70"/>
    <mergeCell ref="K69:K70"/>
    <mergeCell ref="L69:L70"/>
    <mergeCell ref="M69:M70"/>
    <mergeCell ref="N69:N70"/>
    <mergeCell ref="Q67:Q68"/>
    <mergeCell ref="R67:R68"/>
    <mergeCell ref="S67:S68"/>
    <mergeCell ref="A67:A68"/>
    <mergeCell ref="F67:F68"/>
    <mergeCell ref="G67:G68"/>
    <mergeCell ref="L75:L76"/>
    <mergeCell ref="M75:M76"/>
    <mergeCell ref="M73:M74"/>
    <mergeCell ref="R71:R72"/>
    <mergeCell ref="S71:S72"/>
    <mergeCell ref="A73:A74"/>
    <mergeCell ref="B73:F74"/>
    <mergeCell ref="G73:G74"/>
    <mergeCell ref="H73:H74"/>
    <mergeCell ref="I73:J74"/>
    <mergeCell ref="K73:K74"/>
    <mergeCell ref="L73:L74"/>
    <mergeCell ref="L71:L72"/>
    <mergeCell ref="M71:M72"/>
    <mergeCell ref="N71:N72"/>
    <mergeCell ref="O71:O72"/>
    <mergeCell ref="P71:P72"/>
    <mergeCell ref="Q71:Q72"/>
    <mergeCell ref="A71:A72"/>
    <mergeCell ref="G71:G72"/>
    <mergeCell ref="H71:H72"/>
    <mergeCell ref="I71:J72"/>
    <mergeCell ref="N73:N74"/>
    <mergeCell ref="O73:O74"/>
    <mergeCell ref="P73:P74"/>
    <mergeCell ref="Q73:Q74"/>
    <mergeCell ref="F71:F72"/>
    <mergeCell ref="P77:P78"/>
    <mergeCell ref="Q77:Q78"/>
    <mergeCell ref="R77:R78"/>
    <mergeCell ref="S77:S78"/>
    <mergeCell ref="T77:T78"/>
    <mergeCell ref="T75:T76"/>
    <mergeCell ref="A77:A78"/>
    <mergeCell ref="B77:F78"/>
    <mergeCell ref="G77:G78"/>
    <mergeCell ref="H77:H78"/>
    <mergeCell ref="I77:J78"/>
    <mergeCell ref="K77:K78"/>
    <mergeCell ref="L77:L78"/>
    <mergeCell ref="M77:M78"/>
    <mergeCell ref="N77:N78"/>
    <mergeCell ref="N75:N76"/>
    <mergeCell ref="O75:O76"/>
    <mergeCell ref="P75:P76"/>
    <mergeCell ref="Q75:Q76"/>
    <mergeCell ref="R75:R76"/>
    <mergeCell ref="S75:S76"/>
    <mergeCell ref="A75:A76"/>
    <mergeCell ref="B75:F76"/>
    <mergeCell ref="A79:A80"/>
    <mergeCell ref="B79:F80"/>
    <mergeCell ref="G79:G80"/>
    <mergeCell ref="H79:H80"/>
    <mergeCell ref="I79:J80"/>
    <mergeCell ref="K79:K80"/>
    <mergeCell ref="M87:O87"/>
    <mergeCell ref="G75:G76"/>
    <mergeCell ref="H75:H76"/>
    <mergeCell ref="I75:J76"/>
    <mergeCell ref="K75:K76"/>
    <mergeCell ref="L79:L80"/>
    <mergeCell ref="M79:M80"/>
    <mergeCell ref="N79:N80"/>
    <mergeCell ref="O79:O80"/>
    <mergeCell ref="O77:O78"/>
    <mergeCell ref="A81:A82"/>
    <mergeCell ref="B81:F82"/>
    <mergeCell ref="G81:G82"/>
    <mergeCell ref="H81:H82"/>
    <mergeCell ref="I81:J82"/>
    <mergeCell ref="K81:K82"/>
    <mergeCell ref="L81:L82"/>
    <mergeCell ref="M93:O93"/>
    <mergeCell ref="M89:O89"/>
    <mergeCell ref="M91:O91"/>
    <mergeCell ref="R79:R80"/>
    <mergeCell ref="S79:S80"/>
    <mergeCell ref="T79:T80"/>
    <mergeCell ref="M84:O84"/>
    <mergeCell ref="Q79:Q80"/>
    <mergeCell ref="P79:P80"/>
    <mergeCell ref="M81:M82"/>
    <mergeCell ref="N81:N82"/>
    <mergeCell ref="O81:O82"/>
    <mergeCell ref="P81:P82"/>
    <mergeCell ref="Q81:Q82"/>
    <mergeCell ref="R81:R82"/>
    <mergeCell ref="S81:S82"/>
    <mergeCell ref="T81:T82"/>
    <mergeCell ref="M86:O86"/>
    <mergeCell ref="Q87:R87"/>
    <mergeCell ref="M90:O90"/>
  </mergeCells>
  <dataValidations disablePrompts="1" count="2">
    <dataValidation type="list" allowBlank="1" showInputMessage="1" showErrorMessage="1" sqref="G13">
      <formula1>#REF!</formula1>
    </dataValidation>
    <dataValidation type="list" allowBlank="1" showInputMessage="1" showErrorMessage="1" sqref="S31 S37:S76 S35 S33">
      <formula1>$A$95:$A$115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17" ma:contentTypeDescription="" ma:contentTypeScope="" ma:versionID="7bcd3fe56b3259595a9ae9dc2db56fb7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xmlns:ns4="b031f331-093e-4af9-b9a8-5fb9941cd8bc" targetNamespace="http://schemas.microsoft.com/office/2006/metadata/properties" ma:root="true" ma:fieldsID="0fc7ac866179c1bc42f0e83d4902a2cb" ns2:_="" ns3:_="" ns4:_="">
    <xsd:import namespace="80727368-2d85-4693-8aca-8c33fb2339f5"/>
    <xsd:import namespace="http://schemas.microsoft.com/sharepoint/v4"/>
    <xsd:import namespace="b031f331-093e-4af9-b9a8-5fb9941cd8bc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f331-093e-4af9-b9a8-5fb9941cd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>27</Project>
    <IconOverlay xmlns="http://schemas.microsoft.com/sharepoint/v4" xsi:nil="true"/>
    <SharedWithUsers xmlns="80727368-2d85-4693-8aca-8c33fb2339f5">
      <UserInfo>
        <DisplayName>Greg Hoffmann</DisplayName>
        <AccountId>28</AccountId>
        <AccountType/>
      </UserInfo>
      <UserInfo>
        <DisplayName>Reid Christianson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40726A7-2308-4EC7-9CCC-ED27FAABC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A03487-6578-43B9-BD08-575879C69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27368-2d85-4693-8aca-8c33fb2339f5"/>
    <ds:schemaRef ds:uri="http://schemas.microsoft.com/sharepoint/v4"/>
    <ds:schemaRef ds:uri="b031f331-093e-4af9-b9a8-5fb9941cd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931D6B-9745-4272-AF4C-DAB6AE77CBDB}">
  <ds:schemaRefs>
    <ds:schemaRef ds:uri="b031f331-093e-4af9-b9a8-5fb9941cd8bc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0727368-2d85-4693-8aca-8c33fb2339f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Information</vt:lpstr>
      <vt:lpstr>Site Data</vt:lpstr>
      <vt:lpstr>Public ROW</vt:lpstr>
      <vt:lpstr>SDA 1</vt:lpstr>
      <vt:lpstr>SDA 2</vt:lpstr>
      <vt:lpstr>SDA 3</vt:lpstr>
      <vt:lpstr>SDA 4</vt:lpstr>
      <vt:lpstr>SDA 5</vt:lpstr>
      <vt:lpstr>SDA 6</vt:lpstr>
      <vt:lpstr>SDA 7</vt:lpstr>
      <vt:lpstr>SDA 8</vt:lpstr>
      <vt:lpstr>SDA 9</vt:lpstr>
      <vt:lpstr>SDA 10</vt:lpstr>
      <vt:lpstr>Compliance</vt:lpstr>
      <vt:lpstr>Channel and Flood Protection</vt:lpstr>
      <vt:lpstr>'Public ROW'!Print_Area</vt:lpstr>
      <vt:lpstr>'SDA 1'!Print_Area</vt:lpstr>
      <vt:lpstr>'SDA 10'!Print_Area</vt:lpstr>
      <vt:lpstr>'SDA 2'!Print_Area</vt:lpstr>
      <vt:lpstr>'SDA 3'!Print_Area</vt:lpstr>
      <vt:lpstr>'SDA 4'!Print_Area</vt:lpstr>
      <vt:lpstr>'SDA 5'!Print_Area</vt:lpstr>
      <vt:lpstr>'SDA 6'!Print_Area</vt:lpstr>
      <vt:lpstr>'SDA 7'!Print_Area</vt:lpstr>
      <vt:lpstr>'SDA 8'!Print_Area</vt:lpstr>
      <vt:lpstr>'SDA 9'!Print_Area</vt:lpstr>
    </vt:vector>
  </TitlesOfParts>
  <Company>Hirschman Water &amp; Environment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Hoffmann</dc:creator>
  <cp:lastModifiedBy>Morcos, Joseph (DDOE)</cp:lastModifiedBy>
  <cp:lastPrinted>2014-11-04T21:24:16Z</cp:lastPrinted>
  <dcterms:created xsi:type="dcterms:W3CDTF">2008-01-28T21:38:32Z</dcterms:created>
  <dcterms:modified xsi:type="dcterms:W3CDTF">2019-02-15T20:06:34Z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</Properties>
</file>