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235" yWindow="-150" windowWidth="20505" windowHeight="8370" tabRatio="731"/>
  </bookViews>
  <sheets>
    <sheet name="ILF calculation" sheetId="10" r:id="rId1"/>
    <sheet name="Potential demand" sheetId="13" r:id="rId2"/>
    <sheet name="Potential supply" sheetId="14" r:id="rId3"/>
    <sheet name="SRC price to cover costs" sheetId="15" r:id="rId4"/>
    <sheet name="SW financial return" sheetId="16" r:id="rId5"/>
  </sheets>
  <externalReferences>
    <externalReference r:id="rId6"/>
  </externalReferences>
  <calcPr calcId="144525"/>
</workbook>
</file>

<file path=xl/calcChain.xml><?xml version="1.0" encoding="utf-8"?>
<calcChain xmlns="http://schemas.openxmlformats.org/spreadsheetml/2006/main">
  <c r="C9" i="16" l="1"/>
  <c r="J8" i="16"/>
  <c r="I8" i="16"/>
  <c r="F8" i="16"/>
  <c r="E8" i="16"/>
  <c r="L7" i="16"/>
  <c r="L8" i="16" s="1"/>
  <c r="K7" i="16"/>
  <c r="K8" i="16" s="1"/>
  <c r="J7" i="16"/>
  <c r="I7" i="16"/>
  <c r="H7" i="16"/>
  <c r="H8" i="16" s="1"/>
  <c r="G7" i="16"/>
  <c r="G8" i="16" s="1"/>
  <c r="F7" i="16"/>
  <c r="E7" i="16"/>
  <c r="D7" i="16"/>
  <c r="D8" i="16" s="1"/>
  <c r="C7" i="16"/>
  <c r="C8" i="16" s="1"/>
  <c r="K6" i="16"/>
  <c r="J6" i="16"/>
  <c r="G6" i="16"/>
  <c r="F6" i="16"/>
  <c r="C6" i="16"/>
  <c r="L5" i="16"/>
  <c r="L6" i="16" s="1"/>
  <c r="K5" i="16"/>
  <c r="J5" i="16"/>
  <c r="I5" i="16"/>
  <c r="I6" i="16" s="1"/>
  <c r="H5" i="16"/>
  <c r="H6" i="16" s="1"/>
  <c r="G5" i="16"/>
  <c r="F5" i="16"/>
  <c r="E5" i="16"/>
  <c r="E6" i="16" s="1"/>
  <c r="D5" i="16"/>
  <c r="D6" i="16" s="1"/>
  <c r="C5" i="16"/>
  <c r="C10" i="16" l="1"/>
  <c r="M8" i="16"/>
  <c r="H10" i="16"/>
  <c r="E10" i="16"/>
  <c r="M6" i="16"/>
  <c r="D9" i="16"/>
  <c r="E9" i="16" s="1"/>
  <c r="F9" i="16" s="1"/>
  <c r="G9" i="16" s="1"/>
  <c r="H9" i="16" s="1"/>
  <c r="I9" i="16" s="1"/>
  <c r="J9" i="16" s="1"/>
  <c r="K9" i="16" s="1"/>
  <c r="L9" i="16" s="1"/>
  <c r="L10" i="16" s="1"/>
  <c r="D19" i="15"/>
  <c r="E19" i="15" s="1"/>
  <c r="D18" i="15"/>
  <c r="E18" i="15" s="1"/>
  <c r="D17" i="15"/>
  <c r="E17" i="15" s="1"/>
  <c r="D16" i="15"/>
  <c r="E16" i="15" s="1"/>
  <c r="F16" i="15" s="1"/>
  <c r="C16" i="15"/>
  <c r="C17" i="15" s="1"/>
  <c r="C18" i="15" s="1"/>
  <c r="C19" i="15" s="1"/>
  <c r="D15" i="15"/>
  <c r="E15" i="15" s="1"/>
  <c r="F15" i="15" s="1"/>
  <c r="C15" i="15"/>
  <c r="D14" i="15"/>
  <c r="E14" i="15" s="1"/>
  <c r="F14" i="15" s="1"/>
  <c r="K5" i="13"/>
  <c r="K6" i="13" s="1"/>
  <c r="M6" i="13" s="1"/>
  <c r="H5" i="13"/>
  <c r="H6" i="13" s="1"/>
  <c r="E5" i="13"/>
  <c r="E6" i="13" s="1"/>
  <c r="E7" i="13" s="1"/>
  <c r="G7" i="13" s="1"/>
  <c r="B5" i="13"/>
  <c r="D5" i="13" s="1"/>
  <c r="K7" i="13" l="1"/>
  <c r="M7" i="13" s="1"/>
  <c r="M5" i="13"/>
  <c r="L6" i="13" s="1"/>
  <c r="G5" i="13"/>
  <c r="M9" i="16"/>
  <c r="D10" i="16"/>
  <c r="M10" i="16"/>
  <c r="J10" i="16"/>
  <c r="K10" i="16"/>
  <c r="F10" i="16"/>
  <c r="I10" i="16"/>
  <c r="G10" i="16"/>
  <c r="I15" i="15"/>
  <c r="H15" i="15"/>
  <c r="G15" i="15"/>
  <c r="F18" i="15"/>
  <c r="H14" i="15"/>
  <c r="G14" i="15"/>
  <c r="I14" i="15"/>
  <c r="I16" i="15"/>
  <c r="H16" i="15"/>
  <c r="G16" i="15"/>
  <c r="F19" i="15"/>
  <c r="F17" i="15"/>
  <c r="H7" i="13"/>
  <c r="J7" i="13" s="1"/>
  <c r="J6" i="13"/>
  <c r="L7" i="13"/>
  <c r="B6" i="13"/>
  <c r="G6" i="13"/>
  <c r="F7" i="13" s="1"/>
  <c r="J5" i="13"/>
  <c r="I19" i="15" l="1"/>
  <c r="H19" i="15"/>
  <c r="G19" i="15"/>
  <c r="G17" i="15"/>
  <c r="I17" i="15"/>
  <c r="H17" i="15"/>
  <c r="H18" i="15"/>
  <c r="G18" i="15"/>
  <c r="I18" i="15"/>
  <c r="I6" i="13"/>
  <c r="B7" i="13"/>
  <c r="D7" i="13" s="1"/>
  <c r="D6" i="13"/>
  <c r="C6" i="13" s="1"/>
  <c r="C7" i="13" l="1"/>
  <c r="D7" i="10" l="1"/>
  <c r="C7" i="10"/>
  <c r="D10" i="10"/>
  <c r="D6" i="10"/>
  <c r="D5" i="10"/>
  <c r="D8" i="10"/>
  <c r="D9" i="10"/>
  <c r="D11" i="10"/>
  <c r="G10" i="10"/>
  <c r="G7" i="10"/>
  <c r="G6" i="10"/>
  <c r="G5" i="10"/>
  <c r="G8" i="10"/>
  <c r="G9" i="10"/>
  <c r="G11" i="10"/>
  <c r="F7" i="10"/>
  <c r="B7" i="10"/>
  <c r="E6" i="10"/>
  <c r="C6" i="10"/>
  <c r="F6" i="10"/>
  <c r="B6" i="10"/>
  <c r="F10" i="10"/>
  <c r="C10" i="10"/>
  <c r="E10" i="10"/>
  <c r="B10" i="10"/>
  <c r="F5" i="10"/>
  <c r="F8" i="10"/>
  <c r="F9" i="10"/>
  <c r="F11" i="10"/>
  <c r="C5" i="10"/>
  <c r="C8" i="10"/>
  <c r="C9" i="10"/>
  <c r="C11" i="10"/>
  <c r="E5" i="10"/>
  <c r="E8" i="10"/>
  <c r="E9" i="10"/>
  <c r="E11" i="10"/>
  <c r="B5" i="10"/>
  <c r="B8" i="10"/>
  <c r="B9" i="10"/>
  <c r="B11" i="10"/>
  <c r="B15" i="10"/>
  <c r="N46" i="10"/>
</calcChain>
</file>

<file path=xl/sharedStrings.xml><?xml version="1.0" encoding="utf-8"?>
<sst xmlns="http://schemas.openxmlformats.org/spreadsheetml/2006/main" count="125" uniqueCount="111">
  <si>
    <t>Maintenance costs inflation rate</t>
  </si>
  <si>
    <t>Maintenance cost as percent of capital cost</t>
  </si>
  <si>
    <t>10-year payback with 10 years maintenance</t>
  </si>
  <si>
    <t>20-year payback with 20 years maintenance</t>
  </si>
  <si>
    <t>Expected Return on High-Risk Investment - Low</t>
  </si>
  <si>
    <t>Expected Return on High-Risk Investment - Medium</t>
  </si>
  <si>
    <t>Expected Return on High-Risk Investment - High</t>
  </si>
  <si>
    <t>Retrofit maint. costs per year</t>
  </si>
  <si>
    <t>Assumptions</t>
  </si>
  <si>
    <t>Construction management costs per BMP life cycle as percent of capital cost</t>
  </si>
  <si>
    <t>Annual maintenance cost</t>
  </si>
  <si>
    <t>Total of above costs</t>
  </si>
  <si>
    <t>Annualized payment for above costs</t>
  </si>
  <si>
    <t>Total annual payment</t>
  </si>
  <si>
    <t>Weighted average of total annual payments for BMPs</t>
  </si>
  <si>
    <t>(Based on Cost Data from DDOE Programs to Install Retention Best Management Practices or BMPs)</t>
  </si>
  <si>
    <r>
      <t xml:space="preserve"> Green Roofs</t>
    </r>
    <r>
      <rPr>
        <b/>
        <vertAlign val="superscript"/>
        <sz val="11"/>
        <color indexed="8"/>
        <rFont val="Calibri"/>
        <family val="2"/>
      </rPr>
      <t>1</t>
    </r>
    <r>
      <rPr>
        <b/>
        <sz val="11"/>
        <color indexed="8"/>
        <rFont val="Calibri"/>
        <family val="2"/>
      </rPr>
      <t xml:space="preserve">                       </t>
    </r>
  </si>
  <si>
    <t>Harvest for Non-Potable Use</t>
  </si>
  <si>
    <t>In Lieu Fee as rounded weighted average of total annual payments for BMPS</t>
  </si>
  <si>
    <t>Assumptions Used in Calculation:</t>
  </si>
  <si>
    <t>(SRC = 1 gallon of retention capacity for 1 year)</t>
  </si>
  <si>
    <t>Stormwater Fee - Annual</t>
  </si>
  <si>
    <t>Rate</t>
  </si>
  <si>
    <t>Annual Total</t>
  </si>
  <si>
    <t>Green Alleys</t>
  </si>
  <si>
    <t>Bio-                   retention</t>
  </si>
  <si>
    <t>DDOE Calculation of In-Lieu Fee Corresponding to One Gallon of Retention for One Year</t>
  </si>
  <si>
    <t>Total gallons retained by the BMPs</t>
  </si>
  <si>
    <r>
      <rPr>
        <vertAlign val="superscript"/>
        <sz val="10"/>
        <color indexed="8"/>
        <rFont val="Calibri"/>
        <family val="2"/>
      </rPr>
      <t>1</t>
    </r>
    <r>
      <rPr>
        <sz val="10"/>
        <color indexed="8"/>
        <rFont val="Calibri"/>
        <family val="2"/>
      </rPr>
      <t>Includes data from both partial and full subsidy programs for installation of green roofs.  For partial subsidy program, the value of $10 per SF is used, based on program experience and expectation of subsidy required to achieve participation.</t>
    </r>
  </si>
  <si>
    <r>
      <t xml:space="preserve">RiverSmart- </t>
    </r>
    <r>
      <rPr>
        <b/>
        <sz val="10"/>
        <color indexed="8"/>
        <rFont val="Calibri"/>
        <family val="2"/>
      </rPr>
      <t>Bioretention, Bayscaping, Tree Planting</t>
    </r>
    <r>
      <rPr>
        <b/>
        <vertAlign val="superscript"/>
        <sz val="10"/>
        <color indexed="8"/>
        <rFont val="Calibri"/>
        <family val="2"/>
      </rPr>
      <t>2</t>
    </r>
  </si>
  <si>
    <r>
      <t xml:space="preserve">RiverSmart- </t>
    </r>
    <r>
      <rPr>
        <b/>
        <sz val="10"/>
        <color indexed="8"/>
        <rFont val="Calibri"/>
        <family val="2"/>
      </rPr>
      <t>All other BMPs</t>
    </r>
    <r>
      <rPr>
        <b/>
        <vertAlign val="superscript"/>
        <sz val="10"/>
        <color indexed="8"/>
        <rFont val="Calibri"/>
        <family val="2"/>
      </rPr>
      <t>3</t>
    </r>
    <r>
      <rPr>
        <b/>
        <sz val="10"/>
        <color indexed="8"/>
        <rFont val="Calibri"/>
        <family val="2"/>
      </rPr>
      <t xml:space="preserve"> </t>
    </r>
  </si>
  <si>
    <r>
      <rPr>
        <vertAlign val="superscript"/>
        <sz val="10"/>
        <color indexed="8"/>
        <rFont val="Calibri"/>
        <family val="2"/>
      </rPr>
      <t>3</t>
    </r>
    <r>
      <rPr>
        <sz val="10"/>
        <color indexed="8"/>
        <rFont val="Calibri"/>
        <family val="2"/>
      </rPr>
      <t>Includes data from permeable pavement and rain barrel installation for RiverSmart Homes, RiverSmart Communities, and RiverSmart Washington.  RiverSmart Washington data based on 90% design.</t>
    </r>
  </si>
  <si>
    <r>
      <rPr>
        <vertAlign val="superscript"/>
        <sz val="10"/>
        <color indexed="8"/>
        <rFont val="Calibri"/>
        <family val="2"/>
      </rPr>
      <t>2</t>
    </r>
    <r>
      <rPr>
        <sz val="10"/>
        <color indexed="8"/>
        <rFont val="Calibri"/>
        <family val="2"/>
      </rPr>
      <t>Includes data from rain garden and bayscaping installation and tree planting for RiverSmart Homes, RiverSmart Communities, and RiverSmart Washington.  RiverSmart Washington data based on 90% design.</t>
    </r>
  </si>
  <si>
    <r>
      <t>Capital cost for one BMP life cycle ($/gal)</t>
    </r>
    <r>
      <rPr>
        <vertAlign val="superscript"/>
        <sz val="11"/>
        <color indexed="8"/>
        <rFont val="Calibri"/>
        <family val="2"/>
      </rPr>
      <t>4</t>
    </r>
  </si>
  <si>
    <r>
      <rPr>
        <vertAlign val="superscript"/>
        <sz val="10"/>
        <color indexed="8"/>
        <rFont val="Calibri"/>
        <family val="2"/>
      </rPr>
      <t>4</t>
    </r>
    <r>
      <rPr>
        <sz val="10"/>
        <color indexed="8"/>
        <rFont val="Calibri"/>
        <family val="2"/>
      </rPr>
      <t xml:space="preserve">Capital cost per gallon for each BMP category is based on weighted average of BMP installations by DDOE, including design costs.  </t>
    </r>
  </si>
  <si>
    <r>
      <t>Construction management for one BMP lifecycle</t>
    </r>
    <r>
      <rPr>
        <vertAlign val="superscript"/>
        <sz val="11"/>
        <color indexed="8"/>
        <rFont val="Calibri"/>
        <family val="2"/>
      </rPr>
      <t>5</t>
    </r>
  </si>
  <si>
    <r>
      <t>DDOE program management costs for one BMP lifecycle</t>
    </r>
    <r>
      <rPr>
        <vertAlign val="superscript"/>
        <sz val="11"/>
        <color indexed="8"/>
        <rFont val="Calibri"/>
        <family val="2"/>
      </rPr>
      <t>6</t>
    </r>
  </si>
  <si>
    <r>
      <t>Value of land committed to BMP installation (SF/gal)</t>
    </r>
    <r>
      <rPr>
        <vertAlign val="superscript"/>
        <sz val="11"/>
        <color indexed="8"/>
        <rFont val="Calibri"/>
        <family val="2"/>
      </rPr>
      <t>7</t>
    </r>
  </si>
  <si>
    <r>
      <t>Interest rate</t>
    </r>
    <r>
      <rPr>
        <vertAlign val="superscript"/>
        <sz val="11"/>
        <color indexed="8"/>
        <rFont val="Calibri"/>
        <family val="2"/>
      </rPr>
      <t>8</t>
    </r>
  </si>
  <si>
    <r>
      <t>Years in BMP life cycle/Time period over which costs are annualized</t>
    </r>
    <r>
      <rPr>
        <vertAlign val="superscript"/>
        <sz val="11"/>
        <color indexed="8"/>
        <rFont val="Calibri"/>
        <family val="2"/>
      </rPr>
      <t>9</t>
    </r>
  </si>
  <si>
    <r>
      <t>DDOE program management costs per BMP lifecycle as percent of capital cost</t>
    </r>
    <r>
      <rPr>
        <vertAlign val="superscript"/>
        <sz val="11"/>
        <color indexed="8"/>
        <rFont val="Calibri"/>
        <family val="2"/>
      </rPr>
      <t>10</t>
    </r>
  </si>
  <si>
    <r>
      <t>Maintenance cost per year as percent of capital cost</t>
    </r>
    <r>
      <rPr>
        <vertAlign val="superscript"/>
        <sz val="11"/>
        <color indexed="8"/>
        <rFont val="Calibri"/>
        <family val="2"/>
      </rPr>
      <t>11</t>
    </r>
  </si>
  <si>
    <r>
      <t>Land value ($/sf)</t>
    </r>
    <r>
      <rPr>
        <vertAlign val="superscript"/>
        <sz val="11"/>
        <color indexed="8"/>
        <rFont val="Calibri"/>
        <family val="2"/>
      </rPr>
      <t>12</t>
    </r>
  </si>
  <si>
    <r>
      <rPr>
        <vertAlign val="superscript"/>
        <sz val="10"/>
        <color indexed="8"/>
        <rFont val="Calibri"/>
        <family val="2"/>
      </rPr>
      <t>5</t>
    </r>
    <r>
      <rPr>
        <sz val="10"/>
        <color indexed="8"/>
        <rFont val="Calibri"/>
        <family val="2"/>
      </rPr>
      <t>Construction management costs include cost of management by partnering sister agencies and non-profits.  Does not include DDOE costs.</t>
    </r>
  </si>
  <si>
    <r>
      <rPr>
        <vertAlign val="superscript"/>
        <sz val="10"/>
        <color indexed="8"/>
        <rFont val="Calibri"/>
        <family val="2"/>
      </rPr>
      <t>6</t>
    </r>
    <r>
      <rPr>
        <sz val="10"/>
        <color indexed="8"/>
        <rFont val="Calibri"/>
        <family val="2"/>
      </rPr>
      <t xml:space="preserve">Covers DDOE program management costs. </t>
    </r>
  </si>
  <si>
    <r>
      <rPr>
        <vertAlign val="superscript"/>
        <sz val="10"/>
        <color indexed="8"/>
        <rFont val="Calibri"/>
        <family val="2"/>
      </rPr>
      <t>7</t>
    </r>
    <r>
      <rPr>
        <sz val="10"/>
        <color indexed="8"/>
        <rFont val="Calibri"/>
        <family val="2"/>
      </rPr>
      <t xml:space="preserve">Though DDOE currently does not buy or lease land to install retention capacity, this could become necessary if the Department needed to dramatically scale up its programs in response to the use of In Lieu Fee (ILF) by major regulated projects.  In addition, from an economic and practical perspective, the value of land being prevented from being used for alternative uses is a real cost that impacts the willingness of property owners to participate in DDOE BMP installation programs.  DDOE expects that over time it will be necessary to increase the subsidy it provides to property owners to incentivize BMP installation.  For this calculation, DDOE assumes that green roofs, stormwater harvest sytems (including rain barrels), and permeable pavement do not prevent other uses of the underlying land and so have no cost in terms of land value.  By contrast, based on its project data, DDOE calculated that bioretention uses .15 SF per gallon of bioretention, as a weighted average from multiple BMP installations.  Similarly, DDOE calculated that .36 SF of land is used per gallon of retention achieved by the RiverSmart programs installing rain gardens and bayscaping and planting trees.  </t>
    </r>
  </si>
  <si>
    <r>
      <rPr>
        <vertAlign val="superscript"/>
        <sz val="10"/>
        <color indexed="8"/>
        <rFont val="Calibri"/>
        <family val="2"/>
      </rPr>
      <t>8</t>
    </r>
    <r>
      <rPr>
        <sz val="10"/>
        <color indexed="8"/>
        <rFont val="Calibri"/>
        <family val="2"/>
      </rPr>
      <t xml:space="preserve">The interest rate used in the calculation is the inflation-adjusted, compound annual growth rate for the S&amp;P 500 from 1920-2010 (calculated at www.moneychimp.com/features/market_cagr.htm).  In effect, the annual ILF payment is paying the District back over time for an up-front capital investment in retention capacity and the ongoing maintenance costs associated with it, when a regulated project opts to use ILF.  Similar to a mortgage payment that includes both principal and interest, the calculation of the ILF payment should reflect the up-front capital investment that the District must make and also the value, over time, of the District funds committed, represented as interest.  DDOE chose this S&amp;P rate as a reasonable approximation of the alternative use that the District could, theoretically, make with the public funds it would use to make this capital investment.  </t>
    </r>
  </si>
  <si>
    <r>
      <rPr>
        <vertAlign val="superscript"/>
        <sz val="10"/>
        <color indexed="8"/>
        <rFont val="Calibri"/>
        <family val="2"/>
      </rPr>
      <t>9</t>
    </r>
    <r>
      <rPr>
        <sz val="10"/>
        <color indexed="8"/>
        <rFont val="Calibri"/>
        <family val="2"/>
      </rPr>
      <t>20 years is in the range of lifecycle time periods used by other jurisdictions and in the literature when making similar calculations.</t>
    </r>
  </si>
  <si>
    <r>
      <rPr>
        <vertAlign val="superscript"/>
        <sz val="10"/>
        <color indexed="8"/>
        <rFont val="Calibri"/>
        <family val="2"/>
      </rPr>
      <t>10</t>
    </r>
    <r>
      <rPr>
        <sz val="10"/>
        <color indexed="8"/>
        <rFont val="Calibri"/>
        <family val="2"/>
      </rPr>
      <t>Though DDOE program management costs vary among programs, 10% is a reasonable approximation, and it is the rate at which DDOE reimburses grant recipients for administrative overhead costs.</t>
    </r>
  </si>
  <si>
    <t>$3.50 per gallon per year</t>
  </si>
  <si>
    <r>
      <rPr>
        <vertAlign val="superscript"/>
        <sz val="10"/>
        <color indexed="8"/>
        <rFont val="Calibri"/>
        <family val="2"/>
      </rPr>
      <t>12</t>
    </r>
    <r>
      <rPr>
        <sz val="10"/>
        <color indexed="8"/>
        <rFont val="Calibri"/>
        <family val="2"/>
      </rPr>
      <t xml:space="preserve">This land value is an average of the average land value in each of the District's eight wards, based on 2011 assessed land values.  It is important for DDOE to be able to install ILF retention BMPs in any of the District's watersheds to offset stormwater impacts from projects located in those watersheds.  Though land costs are significantly higher than the average in some wards, they are also significantly lower in others.  DDOE believes this avergage land value serves as a reasonable estimate of the value of land for this purpose.    </t>
    </r>
  </si>
  <si>
    <t>10-Year Total</t>
  </si>
  <si>
    <t>Maximum Stormwater Fee Discount</t>
  </si>
  <si>
    <r>
      <rPr>
        <vertAlign val="superscript"/>
        <sz val="10"/>
        <color indexed="8"/>
        <rFont val="Calibri"/>
        <family val="2"/>
      </rPr>
      <t>11</t>
    </r>
    <r>
      <rPr>
        <sz val="10"/>
        <color indexed="8"/>
        <rFont val="Calibri"/>
        <family val="2"/>
      </rPr>
      <t>This is in the range of values used in the literature on maintenance of retention BMPs.</t>
    </r>
  </si>
  <si>
    <r>
      <t>Potential Demand (Offv)</t>
    </r>
    <r>
      <rPr>
        <vertAlign val="superscript"/>
        <sz val="11"/>
        <color theme="1"/>
        <rFont val="Calibri"/>
        <family val="2"/>
        <scheme val="minor"/>
      </rPr>
      <t>1</t>
    </r>
    <r>
      <rPr>
        <b/>
        <sz val="14"/>
        <color theme="1"/>
        <rFont val="Calibri"/>
        <family val="2"/>
        <scheme val="minor"/>
      </rPr>
      <t xml:space="preserve"> Under a 1.2" Retention Standard</t>
    </r>
    <r>
      <rPr>
        <b/>
        <vertAlign val="superscript"/>
        <sz val="14"/>
        <color theme="1"/>
        <rFont val="Calibri"/>
        <family val="2"/>
        <scheme val="minor"/>
      </rPr>
      <t>*</t>
    </r>
  </si>
  <si>
    <r>
      <t>Year of Offv Obligation</t>
    </r>
    <r>
      <rPr>
        <b/>
        <vertAlign val="superscript"/>
        <sz val="11"/>
        <rFont val="Calibri"/>
        <family val="2"/>
        <scheme val="minor"/>
      </rPr>
      <t>2</t>
    </r>
  </si>
  <si>
    <t>Demand Scenario (million gallons)</t>
  </si>
  <si>
    <t>Full Use (nr)</t>
  </si>
  <si>
    <r>
      <t>Full Use</t>
    </r>
    <r>
      <rPr>
        <b/>
        <vertAlign val="superscript"/>
        <sz val="11"/>
        <rFont val="Calibri"/>
        <family val="2"/>
        <scheme val="minor"/>
      </rPr>
      <t>3</t>
    </r>
  </si>
  <si>
    <t>Half Use (nr)</t>
  </si>
  <si>
    <r>
      <t>Half Use</t>
    </r>
    <r>
      <rPr>
        <b/>
        <vertAlign val="superscript"/>
        <sz val="11"/>
        <rFont val="Calibri"/>
        <family val="2"/>
        <scheme val="minor"/>
      </rPr>
      <t>3</t>
    </r>
  </si>
  <si>
    <r>
      <t>Quarter Use</t>
    </r>
    <r>
      <rPr>
        <b/>
        <vertAlign val="superscript"/>
        <sz val="11"/>
        <rFont val="Calibri"/>
        <family val="2"/>
        <scheme val="minor"/>
      </rPr>
      <t>3</t>
    </r>
  </si>
  <si>
    <r>
      <t>Ward-Specific</t>
    </r>
    <r>
      <rPr>
        <b/>
        <vertAlign val="superscript"/>
        <sz val="11"/>
        <rFont val="Calibri"/>
        <family val="2"/>
        <scheme val="minor"/>
      </rPr>
      <t>4</t>
    </r>
  </si>
  <si>
    <t>Annual increase</t>
  </si>
  <si>
    <t>Running total</t>
  </si>
  <si>
    <t>Quarter Use (nr)</t>
  </si>
  <si>
    <t>Ward-Specific (nr)</t>
  </si>
  <si>
    <r>
      <t xml:space="preserve">  2015</t>
    </r>
    <r>
      <rPr>
        <vertAlign val="superscript"/>
        <sz val="11"/>
        <rFont val="Calibri"/>
        <family val="2"/>
        <scheme val="minor"/>
      </rPr>
      <t>3</t>
    </r>
  </si>
  <si>
    <t>2016</t>
  </si>
  <si>
    <t>2017</t>
  </si>
  <si>
    <t>*Note: Totals may not sum due to rounding.</t>
  </si>
  <si>
    <r>
      <rPr>
        <vertAlign val="superscript"/>
        <sz val="10"/>
        <rFont val="Calibri"/>
        <family val="2"/>
        <scheme val="minor"/>
      </rPr>
      <t>1</t>
    </r>
    <r>
      <rPr>
        <sz val="10"/>
        <rFont val="Calibri"/>
        <family val="2"/>
        <scheme val="minor"/>
      </rPr>
      <t>Demand estimates are based on assumptions (explained in footnotes 4 and 5) about the amount of required retention volume that major land-disturbing activities would choose to achieve offsite. In other words, the demand estimates are the estimates of Off-Site Retention Volume (Offv) for those regulated sites as would be recorded on their DDOE-approved Stormwater Management Plans. Offv is calculated as a volume based on the average land disturbance of projects that exceeded 5,000 ft</t>
    </r>
    <r>
      <rPr>
        <vertAlign val="superscript"/>
        <sz val="10"/>
        <rFont val="Calibri"/>
        <family val="2"/>
        <scheme val="minor"/>
      </rPr>
      <t>2</t>
    </r>
    <r>
      <rPr>
        <sz val="10"/>
        <rFont val="Calibri"/>
        <family val="2"/>
        <scheme val="minor"/>
      </rPr>
      <t xml:space="preserve"> between FY2007 and FY2011. Because the FY2007 to FY2011 data is only based on the existing regulatory trigger of 5,000 ft</t>
    </r>
    <r>
      <rPr>
        <vertAlign val="superscript"/>
        <sz val="10"/>
        <rFont val="Calibri"/>
        <family val="2"/>
        <scheme val="minor"/>
      </rPr>
      <t>2</t>
    </r>
    <r>
      <rPr>
        <sz val="10"/>
        <rFont val="Calibri"/>
        <family val="2"/>
        <scheme val="minor"/>
      </rPr>
      <t xml:space="preserve"> of land disturbance, the demand estimates only represent major land-disturbing activities.</t>
    </r>
  </si>
  <si>
    <r>
      <rPr>
        <vertAlign val="superscript"/>
        <sz val="10"/>
        <rFont val="Calibri"/>
        <family val="2"/>
        <scheme val="minor"/>
      </rPr>
      <t>2</t>
    </r>
    <r>
      <rPr>
        <sz val="10"/>
        <rFont val="Calibri"/>
        <family val="2"/>
        <scheme val="minor"/>
      </rPr>
      <t>Year of Offv obligation, when the regulated site would have to be actually using SRCs or In-Lieu Fee to achieve the Offv, is assumed to be one year after the major regulated project went through permitting.</t>
    </r>
  </si>
  <si>
    <r>
      <rPr>
        <vertAlign val="superscript"/>
        <sz val="10"/>
        <rFont val="Calibri"/>
        <family val="2"/>
        <scheme val="minor"/>
      </rPr>
      <t>3</t>
    </r>
    <r>
      <rPr>
        <sz val="10"/>
        <rFont val="Calibri"/>
        <family val="2"/>
        <scheme val="minor"/>
      </rPr>
      <t>2015 is assumed to be the year of Offv obligation for a regulated site that went through permitting in 2014, when DDOE's proposed transition period 2A for major land-disturbing activities allows regulated sites to achieve 100% of their required retention volume offsite.</t>
    </r>
  </si>
  <si>
    <r>
      <rPr>
        <vertAlign val="superscript"/>
        <sz val="10"/>
        <rFont val="Calibri"/>
        <family val="2"/>
        <scheme val="minor"/>
      </rPr>
      <t>4</t>
    </r>
    <r>
      <rPr>
        <sz val="10"/>
        <rFont val="Calibri"/>
        <family val="2"/>
        <scheme val="minor"/>
      </rPr>
      <t>Scenarios vary based on the assumed use of the maximum offsite retention that is allowable (without requesting relief for extraordinarily difficult site conditions). Under full use, sites that went through permitting in 2014 seek 100% of their required retention volume offsite in 2015 and 50% in both 2016 and 2017. Each additional year of demand adds to demand from the prior year. Under half use, regulated sites choose to use 50% of the maximum. Under quarter use, regulated sites choose to use 25% of the maximum.</t>
    </r>
  </si>
  <si>
    <r>
      <rPr>
        <vertAlign val="superscript"/>
        <sz val="10"/>
        <color theme="1"/>
        <rFont val="Calibri"/>
        <family val="2"/>
        <scheme val="minor"/>
      </rPr>
      <t>5</t>
    </r>
    <r>
      <rPr>
        <sz val="10"/>
        <color theme="1"/>
        <rFont val="Calibri"/>
        <family val="2"/>
        <scheme val="minor"/>
      </rPr>
      <t>Assumes that 25% of eligible regulated sites in Wards 2 and 5, and 10% in Wards 1, 3, and 6, seek 50% of their necessary retention volume offsite. Regulated sites in Wards 4, 7, and 8 do not participate in the program. Each additional year of demand adds to demand from the prior year.</t>
    </r>
  </si>
  <si>
    <r>
      <t>Potential Stormwater Retention Credit (SRC) Supply</t>
    </r>
    <r>
      <rPr>
        <b/>
        <vertAlign val="superscript"/>
        <sz val="14"/>
        <color theme="1"/>
        <rFont val="Calibri"/>
        <family val="2"/>
        <scheme val="minor"/>
      </rPr>
      <t>1</t>
    </r>
  </si>
  <si>
    <t>Year</t>
  </si>
  <si>
    <r>
      <t>Supply Scenario (million gallons)</t>
    </r>
    <r>
      <rPr>
        <b/>
        <vertAlign val="superscript"/>
        <sz val="11"/>
        <color theme="1"/>
        <rFont val="Calibri"/>
        <family val="2"/>
        <scheme val="minor"/>
      </rPr>
      <t>2</t>
    </r>
  </si>
  <si>
    <r>
      <t>Full Participation</t>
    </r>
    <r>
      <rPr>
        <b/>
        <vertAlign val="superscript"/>
        <sz val="11"/>
        <color theme="1"/>
        <rFont val="Calibri"/>
        <family val="2"/>
        <scheme val="minor"/>
      </rPr>
      <t>3</t>
    </r>
  </si>
  <si>
    <r>
      <t>Half Participation</t>
    </r>
    <r>
      <rPr>
        <b/>
        <vertAlign val="superscript"/>
        <sz val="11"/>
        <color theme="1"/>
        <rFont val="Calibri"/>
        <family val="2"/>
        <scheme val="minor"/>
      </rPr>
      <t>4</t>
    </r>
  </si>
  <si>
    <t>Existing retention</t>
  </si>
  <si>
    <r>
      <rPr>
        <vertAlign val="superscript"/>
        <sz val="10"/>
        <rFont val="Calibri"/>
        <family val="2"/>
        <scheme val="minor"/>
      </rPr>
      <t>1</t>
    </r>
    <r>
      <rPr>
        <sz val="10"/>
        <rFont val="Calibri"/>
        <family val="2"/>
        <scheme val="minor"/>
      </rPr>
      <t>Supply is based on the excess retention from projects implemented between May 1, 2009 and January 1, 2012. Sources include submitted stormwater management plans and DDOE capital cost data.  Note that DDOE will begin to certify SRCs upon final publication of the final rule in the DC Register, so this estimate refers to the first year of SRC certification as 2013, referring to the one year period starting from finalization of the rule in July of 2013.  DDOE will not certify SRCs retroactively for the period of time prior to final publication.</t>
    </r>
  </si>
  <si>
    <r>
      <rPr>
        <vertAlign val="superscript"/>
        <sz val="10"/>
        <color theme="1"/>
        <rFont val="Calibri"/>
        <family val="2"/>
        <scheme val="minor"/>
      </rPr>
      <t>2</t>
    </r>
    <r>
      <rPr>
        <sz val="10"/>
        <color theme="1"/>
        <rFont val="Calibri"/>
        <family val="2"/>
        <scheme val="minor"/>
      </rPr>
      <t>Since DDOE certifies three years of SRCs at a time, three times the existing eligible retention capacity is potentially certified as SRCs in 2013.  The number of SRCs based on this existing retention capacity remains constant in 2014 and 2015.  Though DDOE expects other eligible property owners to install eligible retention capacity in that time, those SRCs are not included here.  This estimate assumes that the available SRCs are not retired or used to satisfy an Offv requirement.  If DDOE receives an application for recertification in 2016, assuming all eligibility requirements are still met, it will certify an additional three years of SRCs.  Those SRCs would add to the cumulative total.</t>
    </r>
  </si>
  <si>
    <r>
      <rPr>
        <vertAlign val="superscript"/>
        <sz val="10"/>
        <color theme="1"/>
        <rFont val="Calibri"/>
        <family val="2"/>
        <scheme val="minor"/>
      </rPr>
      <t>3</t>
    </r>
    <r>
      <rPr>
        <sz val="10"/>
        <color theme="1"/>
        <rFont val="Calibri"/>
        <family val="2"/>
        <scheme val="minor"/>
      </rPr>
      <t>The full participation scenario assumes 100% participation from all owners of eligible existing retention capacity.  Though DDOE will be doing targeted outreach to these property owners to encourage them to apply for SRC certification, DDOE does not expect 100% participation.  The half participation scenario assumes 50% participation from all owners of eligible existing retention capacity.</t>
    </r>
  </si>
  <si>
    <t>Estimate of SRC Price Required to Cover Cost to Generate</t>
  </si>
  <si>
    <t>Cost-Covering SRC Price</t>
  </si>
  <si>
    <r>
      <t>Capital cost per gallon of retention (Pv)</t>
    </r>
    <r>
      <rPr>
        <b/>
        <vertAlign val="superscript"/>
        <sz val="11"/>
        <color indexed="8"/>
        <rFont val="Calibri"/>
        <family val="2"/>
      </rPr>
      <t>1</t>
    </r>
  </si>
  <si>
    <r>
      <t>Land cost per gallon (PV)</t>
    </r>
    <r>
      <rPr>
        <b/>
        <vertAlign val="superscript"/>
        <sz val="11"/>
        <color indexed="8"/>
        <rFont val="Calibri"/>
        <family val="2"/>
      </rPr>
      <t>2</t>
    </r>
  </si>
  <si>
    <r>
      <t>Maintenance Cost over Payback Period (Pv)</t>
    </r>
    <r>
      <rPr>
        <b/>
        <vertAlign val="superscript"/>
        <sz val="11"/>
        <color indexed="8"/>
        <rFont val="Calibri"/>
        <family val="2"/>
      </rPr>
      <t>3</t>
    </r>
  </si>
  <si>
    <t>Sum of Pv Costs                   (cap. cost + land value + maint. cost)</t>
  </si>
  <si>
    <r>
      <t>5%         ROI</t>
    </r>
    <r>
      <rPr>
        <b/>
        <vertAlign val="superscript"/>
        <sz val="11"/>
        <color indexed="8"/>
        <rFont val="Calibri"/>
        <family val="2"/>
      </rPr>
      <t>4</t>
    </r>
  </si>
  <si>
    <r>
      <t>7.16% ROI</t>
    </r>
    <r>
      <rPr>
        <b/>
        <vertAlign val="superscript"/>
        <sz val="11"/>
        <color indexed="8"/>
        <rFont val="Calibri"/>
        <family val="2"/>
      </rPr>
      <t>4</t>
    </r>
  </si>
  <si>
    <r>
      <t>12.61% ROI</t>
    </r>
    <r>
      <rPr>
        <b/>
        <vertAlign val="superscript"/>
        <sz val="11"/>
        <color indexed="8"/>
        <rFont val="Calibri"/>
        <family val="2"/>
      </rPr>
      <t>4</t>
    </r>
  </si>
  <si>
    <t>10-year payback</t>
  </si>
  <si>
    <t>20-year payback</t>
  </si>
  <si>
    <r>
      <rPr>
        <vertAlign val="superscript"/>
        <sz val="9"/>
        <color indexed="8"/>
        <rFont val="Calibri"/>
        <family val="2"/>
      </rPr>
      <t>1</t>
    </r>
    <r>
      <rPr>
        <sz val="9"/>
        <color indexed="8"/>
        <rFont val="Calibri"/>
        <family val="2"/>
      </rPr>
      <t>Based on DDOE cost data from the most cost-effective of its bioretention installations.</t>
    </r>
  </si>
  <si>
    <r>
      <rPr>
        <vertAlign val="superscript"/>
        <sz val="9"/>
        <color indexed="8"/>
        <rFont val="Calibri"/>
        <family val="2"/>
      </rPr>
      <t>2</t>
    </r>
    <r>
      <rPr>
        <sz val="9"/>
        <color indexed="8"/>
        <rFont val="Calibri"/>
        <family val="2"/>
      </rPr>
      <t>Based on bioretention requiring 0.15 ft</t>
    </r>
    <r>
      <rPr>
        <vertAlign val="superscript"/>
        <sz val="9"/>
        <color indexed="8"/>
        <rFont val="Calibri"/>
        <family val="2"/>
      </rPr>
      <t>2</t>
    </r>
    <r>
      <rPr>
        <sz val="9"/>
        <color indexed="8"/>
        <rFont val="Calibri"/>
        <family val="2"/>
      </rPr>
      <t xml:space="preserve"> of land per gallon of retention at 25th percentile residential and vacant land value for Ward 7 for 2011 ($32.35).</t>
    </r>
  </si>
  <si>
    <r>
      <rPr>
        <vertAlign val="superscript"/>
        <sz val="9"/>
        <color theme="1"/>
        <rFont val="Calibri"/>
        <family val="2"/>
        <scheme val="minor"/>
      </rPr>
      <t>3</t>
    </r>
    <r>
      <rPr>
        <sz val="9"/>
        <color theme="1"/>
        <rFont val="Calibri"/>
        <family val="2"/>
        <scheme val="minor"/>
      </rPr>
      <t>Based on annual maintenance cost equal to 5% of capital cost, calculated as a present value over the payback period with an inflation rate of 3.38% based on the 80-year average through 2010 of the urban CPI.</t>
    </r>
  </si>
  <si>
    <r>
      <rPr>
        <vertAlign val="superscript"/>
        <sz val="9"/>
        <color theme="1"/>
        <rFont val="Calibri"/>
        <family val="2"/>
        <scheme val="minor"/>
      </rPr>
      <t>4</t>
    </r>
    <r>
      <rPr>
        <sz val="9"/>
        <color theme="1"/>
        <rFont val="Calibri"/>
        <family val="2"/>
        <scheme val="minor"/>
      </rPr>
      <t>5% Return on Investment (ROI) is used as relatively low rate of return.  7.16% is the inflation-adjusted, compound annual growth rate for the S&amp;P 500 from 1920-2010, which is used as a more moderate ROI.  12.61% is the one-year, inflation-adjusted return on the S&amp;P 500 in 2010.</t>
    </r>
  </si>
  <si>
    <t>Table 4: Projection of Potential 10-Year Financial Return on Retention BMP                                                                                                                                   from SRC Revenue and Discount on Impervious Fees</t>
  </si>
  <si>
    <t>DC Water Impervious Area Charge (Annualized)</t>
  </si>
  <si>
    <t>Maximum Discount on Impervious Area Charge</t>
  </si>
  <si>
    <r>
      <rPr>
        <vertAlign val="superscript"/>
        <sz val="9"/>
        <color indexed="8"/>
        <rFont val="Calibri"/>
        <family val="2"/>
        <scheme val="minor"/>
      </rPr>
      <t>2</t>
    </r>
    <r>
      <rPr>
        <sz val="9"/>
        <color indexed="8"/>
        <rFont val="Calibri"/>
        <family val="2"/>
        <scheme val="minor"/>
      </rPr>
      <t>Assuming IAC increase does not increase past 2021, the IAC for 2022 is given as the same as in 2021.</t>
    </r>
  </si>
  <si>
    <r>
      <t xml:space="preserve">2015 </t>
    </r>
    <r>
      <rPr>
        <vertAlign val="superscript"/>
        <sz val="11"/>
        <color indexed="8"/>
        <rFont val="Calibri"/>
        <family val="2"/>
        <scheme val="minor"/>
      </rPr>
      <t>1</t>
    </r>
  </si>
  <si>
    <r>
      <t xml:space="preserve">2019 </t>
    </r>
    <r>
      <rPr>
        <vertAlign val="superscript"/>
        <sz val="11"/>
        <color indexed="8"/>
        <rFont val="Calibri"/>
        <family val="2"/>
        <scheme val="minor"/>
      </rPr>
      <t>1</t>
    </r>
  </si>
  <si>
    <r>
      <t xml:space="preserve">2022 </t>
    </r>
    <r>
      <rPr>
        <vertAlign val="superscript"/>
        <sz val="11"/>
        <color indexed="8"/>
        <rFont val="Calibri"/>
        <family val="2"/>
        <scheme val="minor"/>
      </rPr>
      <t>2</t>
    </r>
  </si>
  <si>
    <r>
      <t>Projected Value of SRCs (inflation-adjusted)</t>
    </r>
    <r>
      <rPr>
        <vertAlign val="superscript"/>
        <sz val="11"/>
        <color indexed="8"/>
        <rFont val="Calibri"/>
        <family val="2"/>
        <scheme val="minor"/>
      </rPr>
      <t>3</t>
    </r>
  </si>
  <si>
    <r>
      <t>Assuming installation of BMP to retain 1.2" of stormwater from 1 Equivalent Residential Unit
(1,000 ft</t>
    </r>
    <r>
      <rPr>
        <vertAlign val="superscript"/>
        <sz val="11"/>
        <color theme="1"/>
        <rFont val="Calibri"/>
        <family val="2"/>
        <scheme val="minor"/>
      </rPr>
      <t>2</t>
    </r>
    <r>
      <rPr>
        <sz val="11"/>
        <color theme="1"/>
        <rFont val="Calibri"/>
        <family val="2"/>
        <scheme val="minor"/>
      </rPr>
      <t xml:space="preserve"> of impervious surface)</t>
    </r>
  </si>
  <si>
    <r>
      <rPr>
        <vertAlign val="superscript"/>
        <sz val="9"/>
        <color indexed="8"/>
        <rFont val="Calibri"/>
        <family val="2"/>
        <scheme val="minor"/>
      </rPr>
      <t>1</t>
    </r>
    <r>
      <rPr>
        <sz val="9"/>
        <color indexed="8"/>
        <rFont val="Calibri"/>
        <family val="2"/>
        <scheme val="minor"/>
      </rPr>
      <t>Though DDOE has not proposed an increase to its Stormwater Fee, this analysis assumes some increase will be necessary to comply with the requirments of the current 5-year MS4 permit and the next permit.  This analysis assumes an increase from $2.67 per ERU per month to $4.00 per ERU per month in 2015 and an increase from $4.00 per ERU per month to $5.00 per ERU per month in 2019.</t>
    </r>
  </si>
  <si>
    <r>
      <rPr>
        <vertAlign val="superscript"/>
        <sz val="9"/>
        <color indexed="8"/>
        <rFont val="Calibri"/>
        <family val="2"/>
        <scheme val="minor"/>
      </rPr>
      <t>3</t>
    </r>
    <r>
      <rPr>
        <sz val="9"/>
        <color indexed="8"/>
        <rFont val="Calibri"/>
        <family val="2"/>
        <scheme val="minor"/>
      </rPr>
      <t>A voluntary retention BMP capturing 1.2" of storm runoff from 1,000 ft</t>
    </r>
    <r>
      <rPr>
        <vertAlign val="superscript"/>
        <sz val="9"/>
        <color indexed="8"/>
        <rFont val="Calibri"/>
        <family val="2"/>
        <scheme val="minor"/>
      </rPr>
      <t>2</t>
    </r>
    <r>
      <rPr>
        <sz val="9"/>
        <color indexed="8"/>
        <rFont val="Calibri"/>
        <family val="2"/>
        <scheme val="minor"/>
      </rPr>
      <t xml:space="preserve"> of impervious surface would have 710 gallons of SRC-eligible retention capacity.  If the property owner voluntarily installed a BMP capturing the 1.7" storm volume (i.e. the SRC ceiling), that would equate to 1,007 gallons of SRC-eligible retention capacity.  1,007 SRCs per year, sold at $1.25 per SRC, inflation-adjusted, would result in $14,685.  Inflation rate used is 3.38%, the 80-year average through 2010 of the urban CPI.  Note that the IAC and SW Fee discounts are maxed out at the 1.2" storm, so no additional discount would be earned from the retention of the 1.7" storm.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</si>
</sst>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quot;$&quot;#,##0"/>
    <numFmt numFmtId="166" formatCode="#,##0.0000"/>
    <numFmt numFmtId="167" formatCode="#,##0.00,,\ ;[Red]\(#,##0.0,,\);\-\ ;"/>
  </numFmts>
  <fonts count="37" x14ac:knownFonts="1">
    <font>
      <sz val="11"/>
      <color theme="1"/>
      <name val="Calibri"/>
      <family val="2"/>
      <scheme val="minor"/>
    </font>
    <font>
      <sz val="11"/>
      <color indexed="8"/>
      <name val="Calibri"/>
      <family val="2"/>
    </font>
    <font>
      <b/>
      <sz val="11"/>
      <color indexed="8"/>
      <name val="Calibri"/>
      <family val="2"/>
    </font>
    <font>
      <sz val="8"/>
      <name val="Calibri"/>
      <family val="2"/>
    </font>
    <font>
      <b/>
      <sz val="12"/>
      <color indexed="8"/>
      <name val="Calibri"/>
      <family val="2"/>
    </font>
    <font>
      <sz val="12"/>
      <color indexed="8"/>
      <name val="Calibri"/>
      <family val="2"/>
    </font>
    <font>
      <b/>
      <sz val="14"/>
      <color indexed="8"/>
      <name val="Calibri"/>
      <family val="2"/>
    </font>
    <font>
      <b/>
      <vertAlign val="superscript"/>
      <sz val="11"/>
      <color indexed="8"/>
      <name val="Calibri"/>
      <family val="2"/>
    </font>
    <font>
      <vertAlign val="superscript"/>
      <sz val="11"/>
      <color indexed="8"/>
      <name val="Calibri"/>
      <family val="2"/>
    </font>
    <font>
      <sz val="10"/>
      <color indexed="8"/>
      <name val="Calibri"/>
      <family val="2"/>
    </font>
    <font>
      <vertAlign val="superscript"/>
      <sz val="10"/>
      <color indexed="8"/>
      <name val="Calibri"/>
      <family val="2"/>
    </font>
    <font>
      <sz val="9"/>
      <color indexed="8"/>
      <name val="Calibri"/>
      <family val="2"/>
    </font>
    <font>
      <vertAlign val="superscript"/>
      <sz val="9"/>
      <color indexed="8"/>
      <name val="Calibri"/>
      <family val="2"/>
    </font>
    <font>
      <b/>
      <sz val="10"/>
      <color indexed="8"/>
      <name val="Calibri"/>
      <family val="2"/>
    </font>
    <font>
      <b/>
      <vertAlign val="superscript"/>
      <sz val="10"/>
      <color indexed="8"/>
      <name val="Calibri"/>
      <family val="2"/>
    </font>
    <font>
      <b/>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b/>
      <sz val="11"/>
      <name val="MS Sans Serif"/>
      <family val="2"/>
    </font>
    <font>
      <sz val="11"/>
      <name val="Calibri"/>
      <family val="2"/>
      <scheme val="minor"/>
    </font>
    <font>
      <sz val="10"/>
      <name val="Calibri"/>
      <family val="2"/>
      <scheme val="minor"/>
    </font>
    <font>
      <vertAlign val="superscript"/>
      <sz val="11"/>
      <color theme="1"/>
      <name val="Calibri"/>
      <family val="2"/>
      <scheme val="minor"/>
    </font>
    <font>
      <b/>
      <vertAlign val="superscript"/>
      <sz val="14"/>
      <color theme="1"/>
      <name val="Calibri"/>
      <family val="2"/>
      <scheme val="minor"/>
    </font>
    <font>
      <b/>
      <vertAlign val="superscript"/>
      <sz val="11"/>
      <name val="Calibri"/>
      <family val="2"/>
      <scheme val="minor"/>
    </font>
    <font>
      <vertAlign val="superscript"/>
      <sz val="11"/>
      <name val="Calibri"/>
      <family val="2"/>
      <scheme val="minor"/>
    </font>
    <font>
      <vertAlign val="superscript"/>
      <sz val="10"/>
      <name val="Calibri"/>
      <family val="2"/>
      <scheme val="minor"/>
    </font>
    <font>
      <vertAlign val="superscript"/>
      <sz val="10"/>
      <color theme="1"/>
      <name val="Calibri"/>
      <family val="2"/>
      <scheme val="minor"/>
    </font>
    <font>
      <b/>
      <vertAlign val="superscript"/>
      <sz val="11"/>
      <color theme="1"/>
      <name val="Calibri"/>
      <family val="2"/>
      <scheme val="minor"/>
    </font>
    <font>
      <vertAlign val="superscript"/>
      <sz val="9"/>
      <color theme="1"/>
      <name val="Calibri"/>
      <family val="2"/>
      <scheme val="minor"/>
    </font>
    <font>
      <vertAlign val="superscript"/>
      <sz val="9"/>
      <color indexed="8"/>
      <name val="Calibri"/>
      <family val="2"/>
      <scheme val="minor"/>
    </font>
    <font>
      <b/>
      <sz val="9"/>
      <color theme="1"/>
      <name val="Calibri"/>
      <family val="2"/>
      <scheme val="minor"/>
    </font>
    <font>
      <sz val="9"/>
      <color indexed="8"/>
      <name val="Calibri"/>
      <family val="2"/>
      <scheme val="minor"/>
    </font>
    <font>
      <vertAlign val="superscript"/>
      <sz val="11"/>
      <color indexed="8"/>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214">
    <xf numFmtId="0" fontId="0" fillId="0" borderId="0" xfId="0"/>
    <xf numFmtId="0" fontId="0" fillId="0" borderId="0" xfId="0" applyFill="1"/>
    <xf numFmtId="0" fontId="0" fillId="0" borderId="0" xfId="0" applyAlignment="1">
      <alignment wrapText="1"/>
    </xf>
    <xf numFmtId="0" fontId="2" fillId="0" borderId="0" xfId="0" applyFont="1"/>
    <xf numFmtId="8" fontId="0" fillId="0" borderId="0" xfId="0" applyNumberFormat="1"/>
    <xf numFmtId="8" fontId="0" fillId="0" borderId="0" xfId="0" applyNumberFormat="1" applyFill="1"/>
    <xf numFmtId="0" fontId="4" fillId="0" borderId="0" xfId="0" applyFont="1" applyBorder="1" applyAlignment="1">
      <alignment horizontal="centerContinuous"/>
    </xf>
    <xf numFmtId="0" fontId="0" fillId="0" borderId="0" xfId="0" applyBorder="1"/>
    <xf numFmtId="38" fontId="0" fillId="0" borderId="0" xfId="0" applyNumberFormat="1" applyFill="1" applyBorder="1"/>
    <xf numFmtId="8" fontId="0" fillId="0" borderId="0" xfId="0" applyNumberFormat="1" applyFill="1" applyBorder="1"/>
    <xf numFmtId="0" fontId="0" fillId="0" borderId="2" xfId="0" applyBorder="1"/>
    <xf numFmtId="0" fontId="0" fillId="0" borderId="0" xfId="0"/>
    <xf numFmtId="0" fontId="0" fillId="0" borderId="0" xfId="0" applyBorder="1" applyAlignment="1">
      <alignment wrapText="1"/>
    </xf>
    <xf numFmtId="3" fontId="0" fillId="2" borderId="0" xfId="0" applyNumberFormat="1" applyFill="1" applyBorder="1"/>
    <xf numFmtId="0" fontId="4" fillId="0" borderId="0" xfId="0" applyFont="1" applyBorder="1" applyAlignment="1">
      <alignment horizontal="center" wrapText="1"/>
    </xf>
    <xf numFmtId="8" fontId="15" fillId="0" borderId="0" xfId="0" applyNumberFormat="1" applyFont="1" applyFill="1" applyBorder="1" applyAlignment="1">
      <alignment horizontal="center"/>
    </xf>
    <xf numFmtId="166" fontId="0" fillId="2" borderId="0" xfId="0" applyNumberFormat="1" applyFill="1" applyBorder="1" applyAlignment="1"/>
    <xf numFmtId="0" fontId="0" fillId="0" borderId="0" xfId="0" applyBorder="1" applyAlignment="1">
      <alignment horizontal="center"/>
    </xf>
    <xf numFmtId="0" fontId="0" fillId="0" borderId="1" xfId="0" applyBorder="1"/>
    <xf numFmtId="0" fontId="4" fillId="0" borderId="0" xfId="0" applyFont="1" applyBorder="1" applyAlignment="1"/>
    <xf numFmtId="0" fontId="4" fillId="0" borderId="2" xfId="0" applyFont="1" applyBorder="1" applyAlignment="1"/>
    <xf numFmtId="0" fontId="0" fillId="0" borderId="0" xfId="0"/>
    <xf numFmtId="164" fontId="0" fillId="0" borderId="0" xfId="0" applyNumberFormat="1"/>
    <xf numFmtId="38" fontId="0" fillId="0" borderId="0" xfId="0" applyNumberFormat="1"/>
    <xf numFmtId="164" fontId="0" fillId="0" borderId="0" xfId="0" applyNumberFormat="1" applyFill="1"/>
    <xf numFmtId="0" fontId="0" fillId="0" borderId="0" xfId="0"/>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Border="1" applyAlignment="1">
      <alignment horizontal="center"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center" vertical="center" wrapText="1"/>
    </xf>
    <xf numFmtId="0" fontId="22" fillId="0" borderId="9" xfId="0" applyFont="1" applyBorder="1" applyAlignment="1">
      <alignment wrapText="1"/>
    </xf>
    <xf numFmtId="0" fontId="23" fillId="0" borderId="11" xfId="0" applyFont="1" applyBorder="1" applyAlignment="1">
      <alignment horizontal="center" wrapText="1"/>
    </xf>
    <xf numFmtId="0" fontId="0" fillId="0" borderId="11" xfId="0" applyFont="1" applyBorder="1" applyAlignment="1">
      <alignment horizontal="center" wrapText="1"/>
    </xf>
    <xf numFmtId="0" fontId="21" fillId="0" borderId="11" xfId="0" applyFont="1" applyBorder="1" applyAlignment="1">
      <alignment horizontal="center" wrapText="1"/>
    </xf>
    <xf numFmtId="1" fontId="17" fillId="0" borderId="0" xfId="0" applyNumberFormat="1" applyFont="1" applyBorder="1" applyAlignment="1">
      <alignment horizontal="center" vertical="center" wrapText="1"/>
    </xf>
    <xf numFmtId="49" fontId="23" fillId="0" borderId="11" xfId="0" applyNumberFormat="1" applyFont="1" applyBorder="1" applyAlignment="1">
      <alignment horizontal="center" wrapText="1"/>
    </xf>
    <xf numFmtId="3" fontId="23" fillId="0" borderId="11" xfId="0" applyNumberFormat="1" applyFont="1" applyBorder="1" applyAlignment="1">
      <alignment horizontal="center" wrapText="1"/>
    </xf>
    <xf numFmtId="2" fontId="0" fillId="0" borderId="11" xfId="0" applyNumberFormat="1" applyFont="1" applyBorder="1" applyAlignment="1">
      <alignment horizontal="center" vertical="center" wrapText="1"/>
    </xf>
    <xf numFmtId="167" fontId="23" fillId="0" borderId="11" xfId="0" applyNumberFormat="1" applyFont="1" applyBorder="1" applyAlignment="1">
      <alignment horizontal="center" vertical="center" wrapText="1"/>
    </xf>
    <xf numFmtId="3" fontId="23" fillId="0" borderId="11" xfId="0" applyNumberFormat="1" applyFont="1" applyBorder="1" applyAlignment="1">
      <alignment horizontal="center" vertical="center" wrapText="1"/>
    </xf>
    <xf numFmtId="167" fontId="0" fillId="0" borderId="11" xfId="0" applyNumberFormat="1" applyFont="1" applyBorder="1" applyAlignment="1">
      <alignment horizontal="center" vertical="center" wrapText="1"/>
    </xf>
    <xf numFmtId="40" fontId="23" fillId="0" borderId="11" xfId="0" applyNumberFormat="1" applyFont="1" applyBorder="1" applyAlignment="1">
      <alignment horizontal="center" vertical="center" wrapText="1"/>
    </xf>
    <xf numFmtId="49" fontId="23" fillId="0" borderId="8" xfId="0" applyNumberFormat="1" applyFont="1" applyBorder="1" applyAlignment="1">
      <alignment horizontal="center" wrapText="1"/>
    </xf>
    <xf numFmtId="3" fontId="23" fillId="0" borderId="8" xfId="0" applyNumberFormat="1" applyFont="1" applyBorder="1" applyAlignment="1">
      <alignment horizontal="center" wrapText="1"/>
    </xf>
    <xf numFmtId="167" fontId="0" fillId="0" borderId="8" xfId="0" applyNumberFormat="1" applyFont="1" applyBorder="1" applyAlignment="1">
      <alignment horizontal="center" vertical="center" wrapText="1"/>
    </xf>
    <xf numFmtId="167" fontId="23" fillId="0" borderId="8" xfId="0" applyNumberFormat="1" applyFont="1" applyBorder="1" applyAlignment="1">
      <alignment horizontal="center" wrapText="1"/>
    </xf>
    <xf numFmtId="40" fontId="23" fillId="0" borderId="8" xfId="0" applyNumberFormat="1" applyFont="1" applyBorder="1" applyAlignment="1">
      <alignment horizontal="center" wrapText="1"/>
    </xf>
    <xf numFmtId="0" fontId="0" fillId="0" borderId="0" xfId="0" applyFont="1" applyBorder="1" applyAlignment="1">
      <alignment horizontal="center" vertical="center" wrapText="1"/>
    </xf>
    <xf numFmtId="49" fontId="24" fillId="0" borderId="0" xfId="0" applyNumberFormat="1" applyFont="1" applyBorder="1" applyAlignment="1">
      <alignment horizontal="left" wrapText="1"/>
    </xf>
    <xf numFmtId="3" fontId="17" fillId="0" borderId="0" xfId="0" applyNumberFormat="1" applyFont="1" applyAlignment="1">
      <alignment horizontal="center" vertical="center" wrapText="1"/>
    </xf>
    <xf numFmtId="0" fontId="17" fillId="0" borderId="0" xfId="0" applyFont="1" applyAlignment="1">
      <alignment wrapText="1"/>
    </xf>
    <xf numFmtId="0" fontId="17" fillId="0" borderId="0" xfId="0" applyFont="1" applyAlignment="1">
      <alignment horizontal="center" vertical="center"/>
    </xf>
    <xf numFmtId="0" fontId="18" fillId="0" borderId="0" xfId="0" applyFont="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3" fontId="17" fillId="0" borderId="0" xfId="0" applyNumberFormat="1" applyFont="1" applyBorder="1" applyAlignment="1">
      <alignment horizontal="center" vertical="center"/>
    </xf>
    <xf numFmtId="3"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lignment horizontal="center" vertical="center"/>
    </xf>
    <xf numFmtId="0" fontId="0" fillId="0" borderId="11" xfId="0" applyBorder="1" applyAlignment="1">
      <alignment horizontal="center" vertical="center"/>
    </xf>
    <xf numFmtId="2" fontId="0" fillId="0" borderId="11" xfId="0" applyNumberFormat="1" applyFont="1" applyBorder="1" applyAlignment="1">
      <alignment horizontal="center" vertical="center"/>
    </xf>
    <xf numFmtId="0" fontId="0" fillId="0" borderId="0" xfId="0" applyFont="1" applyBorder="1" applyAlignment="1">
      <alignment horizontal="center" vertical="center"/>
    </xf>
    <xf numFmtId="49" fontId="24" fillId="0" borderId="0" xfId="0" applyNumberFormat="1" applyFont="1" applyBorder="1" applyAlignment="1">
      <alignment horizontal="left"/>
    </xf>
    <xf numFmtId="0" fontId="17" fillId="0" borderId="0" xfId="0" applyFont="1"/>
    <xf numFmtId="0" fontId="4" fillId="0" borderId="11" xfId="0" applyFont="1" applyBorder="1" applyAlignment="1">
      <alignment horizontal="left"/>
    </xf>
    <xf numFmtId="0" fontId="4" fillId="0" borderId="11" xfId="0" applyFont="1" applyBorder="1" applyAlignment="1">
      <alignment horizontal="centerContinuous"/>
    </xf>
    <xf numFmtId="0" fontId="0" fillId="0" borderId="11" xfId="0" applyBorder="1"/>
    <xf numFmtId="0" fontId="0" fillId="0" borderId="10" xfId="0" applyBorder="1"/>
    <xf numFmtId="0" fontId="0" fillId="0" borderId="18" xfId="0" applyBorder="1"/>
    <xf numFmtId="0" fontId="15" fillId="0" borderId="11" xfId="0" applyFont="1" applyBorder="1" applyAlignment="1">
      <alignment horizontal="center" wrapText="1"/>
    </xf>
    <xf numFmtId="0" fontId="15" fillId="0" borderId="15" xfId="0" applyFont="1" applyBorder="1" applyAlignment="1">
      <alignment horizontal="center" wrapText="1"/>
    </xf>
    <xf numFmtId="0" fontId="15" fillId="0" borderId="19" xfId="0" applyFont="1" applyBorder="1" applyAlignment="1">
      <alignment horizontal="center" wrapText="1"/>
    </xf>
    <xf numFmtId="0" fontId="2" fillId="0" borderId="11" xfId="0" applyFont="1" applyBorder="1" applyAlignment="1">
      <alignment wrapText="1"/>
    </xf>
    <xf numFmtId="8" fontId="5" fillId="0" borderId="11" xfId="0" applyNumberFormat="1" applyFont="1" applyBorder="1" applyAlignment="1">
      <alignment wrapText="1"/>
    </xf>
    <xf numFmtId="8" fontId="5" fillId="0" borderId="11" xfId="0" applyNumberFormat="1" applyFont="1" applyBorder="1" applyAlignment="1">
      <alignment horizontal="right"/>
    </xf>
    <xf numFmtId="8" fontId="5" fillId="0" borderId="15" xfId="0" applyNumberFormat="1" applyFont="1" applyBorder="1" applyAlignment="1">
      <alignment wrapText="1"/>
    </xf>
    <xf numFmtId="8" fontId="4" fillId="0" borderId="19" xfId="0" applyNumberFormat="1" applyFont="1" applyBorder="1" applyAlignment="1">
      <alignment horizontal="centerContinuous"/>
    </xf>
    <xf numFmtId="8" fontId="4" fillId="0" borderId="11" xfId="0" applyNumberFormat="1" applyFont="1" applyBorder="1"/>
    <xf numFmtId="0" fontId="2" fillId="2" borderId="11" xfId="0" applyFont="1" applyFill="1" applyBorder="1" applyAlignment="1">
      <alignment wrapText="1"/>
    </xf>
    <xf numFmtId="8" fontId="5" fillId="2" borderId="11" xfId="0" applyNumberFormat="1" applyFont="1" applyFill="1" applyBorder="1"/>
    <xf numFmtId="8" fontId="5" fillId="2" borderId="11" xfId="0" applyNumberFormat="1" applyFont="1" applyFill="1" applyBorder="1" applyAlignment="1">
      <alignment wrapText="1"/>
    </xf>
    <xf numFmtId="8" fontId="5" fillId="2" borderId="11" xfId="0" applyNumberFormat="1" applyFont="1" applyFill="1" applyBorder="1" applyAlignment="1">
      <alignment horizontal="right"/>
    </xf>
    <xf numFmtId="8" fontId="5" fillId="2" borderId="15" xfId="0" applyNumberFormat="1" applyFont="1" applyFill="1" applyBorder="1" applyAlignment="1">
      <alignment wrapText="1"/>
    </xf>
    <xf numFmtId="8" fontId="4" fillId="2" borderId="19" xfId="0" applyNumberFormat="1" applyFont="1" applyFill="1" applyBorder="1" applyAlignment="1">
      <alignment horizontal="centerContinuous"/>
    </xf>
    <xf numFmtId="8" fontId="4" fillId="2" borderId="11" xfId="0" applyNumberFormat="1" applyFont="1" applyFill="1" applyBorder="1"/>
    <xf numFmtId="40" fontId="5" fillId="0" borderId="11" xfId="0" applyNumberFormat="1" applyFont="1" applyBorder="1"/>
    <xf numFmtId="0" fontId="2" fillId="0" borderId="10" xfId="0" applyFont="1" applyBorder="1" applyAlignment="1">
      <alignment wrapText="1"/>
    </xf>
    <xf numFmtId="40" fontId="5" fillId="0" borderId="10" xfId="0" applyNumberFormat="1" applyFont="1" applyBorder="1"/>
    <xf numFmtId="8" fontId="5" fillId="0" borderId="10" xfId="0" applyNumberFormat="1" applyFont="1" applyBorder="1" applyAlignment="1">
      <alignment wrapText="1"/>
    </xf>
    <xf numFmtId="8" fontId="5" fillId="0" borderId="10" xfId="0" applyNumberFormat="1" applyFont="1" applyBorder="1" applyAlignment="1">
      <alignment horizontal="right"/>
    </xf>
    <xf numFmtId="8" fontId="5" fillId="0" borderId="20" xfId="0" applyNumberFormat="1" applyFont="1" applyBorder="1" applyAlignment="1">
      <alignment wrapText="1"/>
    </xf>
    <xf numFmtId="8" fontId="4" fillId="0" borderId="21" xfId="0" applyNumberFormat="1" applyFont="1" applyBorder="1" applyAlignment="1">
      <alignment horizontal="centerContinuous"/>
    </xf>
    <xf numFmtId="8" fontId="4" fillId="0" borderId="10" xfId="0" applyNumberFormat="1" applyFont="1" applyBorder="1"/>
    <xf numFmtId="0" fontId="20" fillId="0" borderId="0" xfId="0" applyFont="1" applyAlignment="1">
      <alignment horizontal="left" wrapText="1"/>
    </xf>
    <xf numFmtId="0" fontId="0" fillId="0" borderId="0" xfId="0" applyFont="1"/>
    <xf numFmtId="0" fontId="20" fillId="0" borderId="0" xfId="0" applyFont="1"/>
    <xf numFmtId="0" fontId="34" fillId="0" borderId="0" xfId="0" applyFont="1"/>
    <xf numFmtId="0" fontId="0" fillId="0" borderId="11" xfId="0" applyFont="1" applyBorder="1" applyAlignment="1">
      <alignment vertical="center"/>
    </xf>
    <xf numFmtId="0" fontId="15" fillId="0" borderId="11" xfId="0" applyFont="1" applyBorder="1" applyAlignment="1">
      <alignment horizontal="center" vertical="center" wrapText="1"/>
    </xf>
    <xf numFmtId="0" fontId="0" fillId="0" borderId="11" xfId="0" applyFont="1" applyBorder="1" applyAlignment="1">
      <alignment horizontal="right" vertical="center" wrapText="1"/>
    </xf>
    <xf numFmtId="165" fontId="0" fillId="0" borderId="11" xfId="0" applyNumberFormat="1" applyFont="1" applyBorder="1" applyAlignment="1">
      <alignment horizontal="center" vertical="center"/>
    </xf>
    <xf numFmtId="9" fontId="0" fillId="0" borderId="11" xfId="0" applyNumberFormat="1" applyFont="1" applyBorder="1" applyAlignment="1">
      <alignment vertical="center"/>
    </xf>
    <xf numFmtId="165" fontId="15" fillId="0" borderId="11" xfId="0" applyNumberFormat="1" applyFont="1" applyBorder="1" applyAlignment="1">
      <alignment horizontal="center" vertical="center"/>
    </xf>
    <xf numFmtId="164" fontId="0" fillId="0" borderId="11" xfId="0" applyNumberFormat="1" applyFont="1" applyBorder="1" applyAlignment="1">
      <alignment vertical="center"/>
    </xf>
    <xf numFmtId="0" fontId="0" fillId="0" borderId="0" xfId="0" applyFont="1" applyAlignment="1">
      <alignment vertical="center"/>
    </xf>
    <xf numFmtId="0" fontId="4" fillId="0" borderId="11" xfId="0" applyFont="1" applyBorder="1" applyAlignment="1">
      <alignment horizontal="left" wrapText="1"/>
    </xf>
    <xf numFmtId="0" fontId="2" fillId="0" borderId="11" xfId="0" applyFont="1" applyBorder="1" applyAlignment="1">
      <alignment horizontal="center" wrapText="1"/>
    </xf>
    <xf numFmtId="0" fontId="0" fillId="0" borderId="11" xfId="0" applyBorder="1" applyAlignment="1">
      <alignment horizontal="right"/>
    </xf>
    <xf numFmtId="164" fontId="0" fillId="2" borderId="11" xfId="0" applyNumberFormat="1" applyFill="1" applyBorder="1" applyAlignment="1">
      <alignment horizontal="right"/>
    </xf>
    <xf numFmtId="164" fontId="0" fillId="0" borderId="11" xfId="0" applyNumberFormat="1" applyBorder="1"/>
    <xf numFmtId="0" fontId="0" fillId="0" borderId="11" xfId="0" applyFill="1" applyBorder="1" applyAlignment="1">
      <alignment horizontal="right"/>
    </xf>
    <xf numFmtId="164" fontId="0" fillId="0" borderId="11" xfId="0" applyNumberFormat="1" applyBorder="1" applyAlignment="1">
      <alignment horizontal="right"/>
    </xf>
    <xf numFmtId="0" fontId="2" fillId="0" borderId="11" xfId="0" applyFont="1" applyBorder="1" applyAlignment="1">
      <alignment horizontal="right"/>
    </xf>
    <xf numFmtId="0" fontId="15" fillId="2" borderId="11" xfId="0" applyFont="1" applyFill="1" applyBorder="1" applyAlignment="1">
      <alignment horizontal="right"/>
    </xf>
    <xf numFmtId="8" fontId="0" fillId="0" borderId="11" xfId="0" applyNumberFormat="1" applyFill="1" applyBorder="1"/>
    <xf numFmtId="38" fontId="0" fillId="0" borderId="11" xfId="0" applyNumberFormat="1" applyFill="1" applyBorder="1"/>
    <xf numFmtId="164" fontId="15" fillId="0" borderId="11" xfId="0" applyNumberFormat="1" applyFont="1" applyBorder="1" applyAlignment="1">
      <alignment horizontal="right" wrapText="1"/>
    </xf>
    <xf numFmtId="3" fontId="0" fillId="2" borderId="11" xfId="0" applyNumberFormat="1" applyFill="1" applyBorder="1"/>
    <xf numFmtId="166" fontId="0" fillId="2" borderId="11" xfId="0" applyNumberFormat="1" applyFill="1" applyBorder="1" applyAlignment="1"/>
    <xf numFmtId="4" fontId="0" fillId="2" borderId="11" xfId="0" applyNumberFormat="1" applyFill="1" applyBorder="1"/>
    <xf numFmtId="164" fontId="0" fillId="2" borderId="11" xfId="0" applyNumberFormat="1" applyFill="1" applyBorder="1"/>
    <xf numFmtId="164" fontId="0" fillId="0" borderId="0" xfId="0" applyNumberFormat="1" applyBorder="1"/>
    <xf numFmtId="164" fontId="15" fillId="0" borderId="1" xfId="0" applyNumberFormat="1" applyFont="1" applyBorder="1" applyAlignment="1">
      <alignment horizontal="right" wrapText="1"/>
    </xf>
    <xf numFmtId="8" fontId="0" fillId="0" borderId="2" xfId="0" applyNumberFormat="1" applyFill="1" applyBorder="1"/>
    <xf numFmtId="0" fontId="16" fillId="0" borderId="1" xfId="0" applyFont="1" applyBorder="1" applyAlignment="1">
      <alignment horizontal="left"/>
    </xf>
    <xf numFmtId="0" fontId="15" fillId="0" borderId="0" xfId="0" applyFont="1" applyBorder="1"/>
    <xf numFmtId="38" fontId="0" fillId="0" borderId="2" xfId="0" applyNumberFormat="1" applyFill="1" applyBorder="1"/>
    <xf numFmtId="0" fontId="9" fillId="0" borderId="1" xfId="0" applyFont="1" applyBorder="1" applyAlignment="1">
      <alignment horizontal="left" vertical="center"/>
    </xf>
    <xf numFmtId="0" fontId="17" fillId="0" borderId="0" xfId="0" applyFont="1" applyBorder="1" applyAlignment="1">
      <alignment horizontal="left" vertical="center"/>
    </xf>
    <xf numFmtId="0" fontId="0" fillId="0" borderId="2" xfId="0" applyBorder="1" applyAlignment="1">
      <alignment horizontal="left" vertical="center"/>
    </xf>
    <xf numFmtId="0" fontId="9"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8" fillId="0" borderId="20"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19" fillId="0" borderId="1"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1" xfId="0" applyBorder="1" applyAlignment="1">
      <alignment horizontal="right"/>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8" fontId="15" fillId="0" borderId="15" xfId="0" applyNumberFormat="1" applyFont="1" applyFill="1" applyBorder="1" applyAlignment="1">
      <alignment horizontal="center"/>
    </xf>
    <xf numFmtId="8" fontId="15" fillId="0" borderId="16" xfId="0" applyNumberFormat="1" applyFont="1" applyFill="1" applyBorder="1" applyAlignment="1">
      <alignment horizontal="center"/>
    </xf>
    <xf numFmtId="8" fontId="15" fillId="0" borderId="17" xfId="0" applyNumberFormat="1" applyFont="1" applyFill="1" applyBorder="1" applyAlignment="1">
      <alignment horizontal="center"/>
    </xf>
    <xf numFmtId="0" fontId="0" fillId="0" borderId="11" xfId="0" applyFill="1" applyBorder="1" applyAlignment="1">
      <alignment horizontal="right"/>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8" fillId="0" borderId="8" xfId="0" applyFont="1" applyBorder="1" applyAlignment="1">
      <alignment horizontal="center" wrapText="1"/>
    </xf>
    <xf numFmtId="0" fontId="0" fillId="0" borderId="8" xfId="0" applyBorder="1" applyAlignment="1">
      <alignment horizontal="center" wrapText="1"/>
    </xf>
    <xf numFmtId="0" fontId="21"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21" fillId="0" borderId="9" xfId="0" applyFont="1" applyBorder="1" applyAlignment="1">
      <alignment horizontal="center" wrapText="1"/>
    </xf>
    <xf numFmtId="0" fontId="22" fillId="0" borderId="9" xfId="0" applyFont="1" applyBorder="1" applyAlignment="1">
      <alignment wrapText="1"/>
    </xf>
    <xf numFmtId="0" fontId="0" fillId="0" borderId="9" xfId="0" applyFont="1" applyBorder="1" applyAlignment="1">
      <alignment wrapText="1"/>
    </xf>
    <xf numFmtId="0" fontId="21" fillId="0" borderId="10" xfId="0" applyFont="1" applyBorder="1" applyAlignment="1">
      <alignment horizontal="center" wrapText="1"/>
    </xf>
    <xf numFmtId="0" fontId="0" fillId="0" borderId="9" xfId="0" applyFont="1" applyBorder="1" applyAlignment="1">
      <alignment horizontal="center" wrapText="1"/>
    </xf>
    <xf numFmtId="0" fontId="21" fillId="0" borderId="11" xfId="0" applyFont="1" applyBorder="1" applyAlignment="1">
      <alignment horizontal="center" wrapText="1"/>
    </xf>
    <xf numFmtId="0" fontId="0" fillId="0" borderId="11" xfId="0" applyFont="1" applyBorder="1" applyAlignment="1">
      <alignment horizontal="center" wrapText="1"/>
    </xf>
    <xf numFmtId="49" fontId="24" fillId="0" borderId="12" xfId="0" applyNumberFormat="1"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24" fillId="0" borderId="11" xfId="0" applyNumberFormat="1" applyFont="1" applyBorder="1" applyAlignment="1">
      <alignment horizontal="left" vertical="center" wrapText="1"/>
    </xf>
    <xf numFmtId="0" fontId="17" fillId="0" borderId="11" xfId="0" applyNumberFormat="1" applyFont="1" applyBorder="1" applyAlignment="1">
      <alignment vertical="center" wrapText="1"/>
    </xf>
    <xf numFmtId="0" fontId="17" fillId="0" borderId="11" xfId="0" applyFont="1" applyBorder="1" applyAlignment="1">
      <alignment vertical="center" wrapText="1"/>
    </xf>
    <xf numFmtId="49" fontId="24" fillId="0" borderId="11" xfId="0" applyNumberFormat="1" applyFont="1" applyBorder="1" applyAlignment="1">
      <alignment horizontal="left" vertical="center" wrapText="1"/>
    </xf>
    <xf numFmtId="0" fontId="18" fillId="0" borderId="11" xfId="0" applyFont="1" applyBorder="1" applyAlignment="1">
      <alignment horizontal="center" wrapText="1"/>
    </xf>
    <xf numFmtId="0" fontId="15" fillId="0" borderId="10" xfId="0" applyFont="1" applyBorder="1" applyAlignment="1">
      <alignment horizontal="center" vertical="center"/>
    </xf>
    <xf numFmtId="0" fontId="0" fillId="0" borderId="9" xfId="0" applyBorder="1" applyAlignment="1">
      <alignment horizontal="center" vertical="center"/>
    </xf>
    <xf numFmtId="0" fontId="15" fillId="0" borderId="11" xfId="0" applyFont="1" applyBorder="1" applyAlignment="1">
      <alignment horizontal="center" vertical="center"/>
    </xf>
    <xf numFmtId="0" fontId="24" fillId="0" borderId="11" xfId="0" applyNumberFormat="1"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0" fillId="0" borderId="11" xfId="0" applyFont="1" applyBorder="1" applyAlignment="1">
      <alignment horizontal="left" vertical="center" wrapText="1"/>
    </xf>
    <xf numFmtId="0" fontId="6" fillId="0" borderId="1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15" fillId="0" borderId="6" xfId="0" applyFont="1" applyBorder="1" applyAlignment="1">
      <alignment horizontal="center"/>
    </xf>
    <xf numFmtId="0" fontId="15" fillId="0" borderId="7" xfId="0" applyFont="1" applyBorder="1" applyAlignment="1">
      <alignment horizontal="center"/>
    </xf>
    <xf numFmtId="0" fontId="11" fillId="0" borderId="11" xfId="0" applyFont="1" applyFill="1" applyBorder="1" applyAlignment="1">
      <alignment horizontal="left" vertical="center" wrapText="1"/>
    </xf>
    <xf numFmtId="0" fontId="35" fillId="0" borderId="11"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5"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branosky/AppData/Local/Microsoft/Windows/Temporary%20Internet%20Files/Content.Outlook/TNS7N6SY/Demand%20and%20supply_5-2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 results"/>
      <sheetName val="Supply results"/>
      <sheetName val="Demand"/>
      <sheetName val="Supply"/>
    </sheetNames>
    <sheetDataSet>
      <sheetData sheetId="0"/>
      <sheetData sheetId="1"/>
      <sheetData sheetId="2">
        <row r="10">
          <cell r="M10">
            <v>10365281.306599999</v>
          </cell>
          <cell r="Z10">
            <v>5182640.6532999994</v>
          </cell>
        </row>
        <row r="18">
          <cell r="Z18">
            <v>2591320.3266499997</v>
          </cell>
        </row>
        <row r="26">
          <cell r="Z26">
            <v>498213.97469800001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130" zoomScaleNormal="130" workbookViewId="0">
      <selection sqref="A1:G1"/>
    </sheetView>
  </sheetViews>
  <sheetFormatPr defaultRowHeight="15" x14ac:dyDescent="0.25"/>
  <cols>
    <col min="1" max="1" width="59.85546875" customWidth="1"/>
    <col min="2" max="2" width="9" customWidth="1"/>
    <col min="3" max="3" width="9.7109375" customWidth="1"/>
    <col min="4" max="4" width="12.28515625" customWidth="1"/>
    <col min="5" max="5" width="11.28515625" style="21" customWidth="1"/>
    <col min="6" max="6" width="12" customWidth="1"/>
    <col min="7" max="7" width="8.7109375" customWidth="1"/>
    <col min="8" max="8" width="9.85546875" bestFit="1" customWidth="1"/>
  </cols>
  <sheetData>
    <row r="1" spans="1:13" ht="20.25" customHeight="1" x14ac:dyDescent="0.3">
      <c r="A1" s="135" t="s">
        <v>26</v>
      </c>
      <c r="B1" s="136"/>
      <c r="C1" s="136"/>
      <c r="D1" s="136"/>
      <c r="E1" s="136"/>
      <c r="F1" s="136"/>
      <c r="G1" s="137"/>
      <c r="H1" s="12"/>
      <c r="I1" s="12"/>
      <c r="J1" s="14"/>
      <c r="K1" s="12"/>
    </row>
    <row r="2" spans="1:13" s="11" customFormat="1" ht="15.75" x14ac:dyDescent="0.25">
      <c r="A2" s="138" t="s">
        <v>15</v>
      </c>
      <c r="B2" s="139"/>
      <c r="C2" s="139"/>
      <c r="D2" s="139"/>
      <c r="E2" s="139"/>
      <c r="F2" s="139"/>
      <c r="G2" s="140"/>
      <c r="H2" s="12"/>
      <c r="I2" s="2"/>
      <c r="J2" s="14"/>
      <c r="K2" s="2"/>
    </row>
    <row r="3" spans="1:13" ht="57.75" customHeight="1" x14ac:dyDescent="0.25">
      <c r="A3" s="107"/>
      <c r="B3" s="108" t="s">
        <v>16</v>
      </c>
      <c r="C3" s="108" t="s">
        <v>25</v>
      </c>
      <c r="D3" s="108" t="s">
        <v>29</v>
      </c>
      <c r="E3" s="108" t="s">
        <v>30</v>
      </c>
      <c r="F3" s="108" t="s">
        <v>17</v>
      </c>
      <c r="G3" s="108" t="s">
        <v>24</v>
      </c>
      <c r="H3" s="3"/>
      <c r="I3" s="3"/>
      <c r="J3" s="3"/>
      <c r="K3" s="3"/>
    </row>
    <row r="4" spans="1:13" ht="15.75" customHeight="1" x14ac:dyDescent="0.25">
      <c r="A4" s="109" t="s">
        <v>33</v>
      </c>
      <c r="B4" s="110">
        <v>16</v>
      </c>
      <c r="C4" s="110">
        <v>15.98</v>
      </c>
      <c r="D4" s="123">
        <v>6.67</v>
      </c>
      <c r="E4" s="110">
        <v>9.76</v>
      </c>
      <c r="F4" s="110">
        <v>99.87</v>
      </c>
      <c r="G4" s="110">
        <v>122.29</v>
      </c>
    </row>
    <row r="5" spans="1:13" ht="15.75" customHeight="1" x14ac:dyDescent="0.25">
      <c r="A5" s="109" t="s">
        <v>35</v>
      </c>
      <c r="B5" s="110">
        <f>C21*B4</f>
        <v>3.2</v>
      </c>
      <c r="C5" s="110">
        <f>C21*C4</f>
        <v>3.1960000000000002</v>
      </c>
      <c r="D5" s="110">
        <f>C21*D4</f>
        <v>1.3340000000000001</v>
      </c>
      <c r="E5" s="110">
        <f>C21*E4</f>
        <v>1.952</v>
      </c>
      <c r="F5" s="110">
        <f>C21*F4</f>
        <v>19.974000000000004</v>
      </c>
      <c r="G5" s="110">
        <f>C21*G4</f>
        <v>24.458000000000002</v>
      </c>
    </row>
    <row r="6" spans="1:13" ht="15.75" customHeight="1" x14ac:dyDescent="0.25">
      <c r="A6" s="112" t="s">
        <v>36</v>
      </c>
      <c r="B6" s="113">
        <f t="shared" ref="B6:G6" si="0">B4*$C$22</f>
        <v>1.6</v>
      </c>
      <c r="C6" s="113">
        <f t="shared" si="0"/>
        <v>1.5980000000000001</v>
      </c>
      <c r="D6" s="113">
        <f t="shared" si="0"/>
        <v>0.66700000000000004</v>
      </c>
      <c r="E6" s="113">
        <f t="shared" si="0"/>
        <v>0.97599999999999998</v>
      </c>
      <c r="F6" s="113">
        <f t="shared" si="0"/>
        <v>9.9870000000000019</v>
      </c>
      <c r="G6" s="113">
        <f t="shared" si="0"/>
        <v>12.229000000000001</v>
      </c>
    </row>
    <row r="7" spans="1:13" ht="15.75" customHeight="1" x14ac:dyDescent="0.25">
      <c r="A7" s="112" t="s">
        <v>37</v>
      </c>
      <c r="B7" s="113">
        <f>0*$C$24</f>
        <v>0</v>
      </c>
      <c r="C7" s="113">
        <f>0.15*$C$24</f>
        <v>17.464500000000001</v>
      </c>
      <c r="D7" s="113">
        <f>0.36*$C$24</f>
        <v>41.9148</v>
      </c>
      <c r="E7" s="113">
        <v>0</v>
      </c>
      <c r="F7" s="113">
        <f>0*$C$24</f>
        <v>0</v>
      </c>
      <c r="G7" s="113">
        <f>0*$C$24</f>
        <v>0</v>
      </c>
      <c r="L7" s="3"/>
      <c r="M7" s="3"/>
    </row>
    <row r="8" spans="1:13" ht="15.75" customHeight="1" x14ac:dyDescent="0.25">
      <c r="A8" s="114" t="s">
        <v>11</v>
      </c>
      <c r="B8" s="110">
        <f>SUM(B4,B5,B6,B7)</f>
        <v>20.8</v>
      </c>
      <c r="C8" s="110">
        <f>SUM(C4,C5,C6,C7)</f>
        <v>38.238500000000002</v>
      </c>
      <c r="D8" s="110">
        <f>SUM(D4,D5,D6,D7)</f>
        <v>50.585799999999999</v>
      </c>
      <c r="E8" s="110">
        <f>SUM(E4,E5,E6,E7)</f>
        <v>12.687999999999999</v>
      </c>
      <c r="F8" s="110">
        <f>SUM(F4,F5,F6,F7)</f>
        <v>129.83100000000002</v>
      </c>
      <c r="G8" s="111">
        <f>SUM(G4:G7)</f>
        <v>158.97700000000003</v>
      </c>
    </row>
    <row r="9" spans="1:13" ht="15.75" customHeight="1" x14ac:dyDescent="0.25">
      <c r="A9" s="109" t="s">
        <v>12</v>
      </c>
      <c r="B9" s="110">
        <f t="shared" ref="B9:G9" si="1">-PMT($C$19,$C$20,B8)</f>
        <v>1.9878551621956244</v>
      </c>
      <c r="C9" s="110">
        <f t="shared" si="1"/>
        <v>3.6544519047892972</v>
      </c>
      <c r="D9" s="110">
        <f t="shared" si="1"/>
        <v>4.8344828684517021</v>
      </c>
      <c r="E9" s="110">
        <f t="shared" si="1"/>
        <v>1.2125916489393309</v>
      </c>
      <c r="F9" s="110">
        <f t="shared" si="1"/>
        <v>12.407943440529813</v>
      </c>
      <c r="G9" s="110">
        <f t="shared" si="1"/>
        <v>15.193425486556436</v>
      </c>
    </row>
    <row r="10" spans="1:13" ht="15.75" customHeight="1" x14ac:dyDescent="0.25">
      <c r="A10" s="109" t="s">
        <v>10</v>
      </c>
      <c r="B10" s="110">
        <f>C23*B4</f>
        <v>0.8</v>
      </c>
      <c r="C10" s="110">
        <f>C23*C4</f>
        <v>0.79900000000000004</v>
      </c>
      <c r="D10" s="110">
        <f>C23*D4</f>
        <v>0.33350000000000002</v>
      </c>
      <c r="E10" s="110">
        <f>C23*E4</f>
        <v>0.48799999999999999</v>
      </c>
      <c r="F10" s="110">
        <f>C23*F4</f>
        <v>4.9935000000000009</v>
      </c>
      <c r="G10" s="110">
        <f>C23*G4</f>
        <v>6.1145000000000005</v>
      </c>
    </row>
    <row r="11" spans="1:13" ht="15.75" customHeight="1" x14ac:dyDescent="0.25">
      <c r="A11" s="115" t="s">
        <v>13</v>
      </c>
      <c r="B11" s="110">
        <f t="shared" ref="B11:G11" si="2">SUM(B9:B10)</f>
        <v>2.7878551621956245</v>
      </c>
      <c r="C11" s="110">
        <f t="shared" si="2"/>
        <v>4.4534519047892971</v>
      </c>
      <c r="D11" s="110">
        <f t="shared" si="2"/>
        <v>5.167982868451702</v>
      </c>
      <c r="E11" s="110">
        <f t="shared" si="2"/>
        <v>1.7005916489393309</v>
      </c>
      <c r="F11" s="110">
        <f t="shared" si="2"/>
        <v>17.401443440529814</v>
      </c>
      <c r="G11" s="116">
        <f t="shared" si="2"/>
        <v>21.307925486556435</v>
      </c>
      <c r="H11" s="22"/>
    </row>
    <row r="12" spans="1:13" ht="15.75" customHeight="1" x14ac:dyDescent="0.25">
      <c r="A12" s="147"/>
      <c r="B12" s="148"/>
      <c r="C12" s="148"/>
      <c r="D12" s="148"/>
      <c r="E12" s="148"/>
      <c r="F12" s="149"/>
      <c r="G12" s="116"/>
    </row>
    <row r="13" spans="1:13" ht="15.75" customHeight="1" x14ac:dyDescent="0.25">
      <c r="A13" s="109" t="s">
        <v>27</v>
      </c>
      <c r="B13" s="117">
        <v>543515</v>
      </c>
      <c r="C13" s="117">
        <v>81512</v>
      </c>
      <c r="D13" s="117">
        <v>347600</v>
      </c>
      <c r="E13" s="117">
        <v>336740</v>
      </c>
      <c r="F13" s="117">
        <v>13868</v>
      </c>
      <c r="G13" s="117">
        <v>6798</v>
      </c>
      <c r="H13" s="23"/>
    </row>
    <row r="14" spans="1:13" x14ac:dyDescent="0.25">
      <c r="A14" s="147"/>
      <c r="B14" s="148"/>
      <c r="C14" s="148"/>
      <c r="D14" s="148"/>
      <c r="E14" s="148"/>
      <c r="F14" s="149"/>
      <c r="G14" s="116"/>
    </row>
    <row r="15" spans="1:13" x14ac:dyDescent="0.25">
      <c r="A15" s="118" t="s">
        <v>14</v>
      </c>
      <c r="B15" s="153">
        <f>((B11*B13)+(C11*C13)+(D11*D13)+(E11*E13)+(F11*F13)+(G11*G13))/SUM(G13,F13,E13,D13,C13,B13)</f>
        <v>3.4837281798064108</v>
      </c>
      <c r="C15" s="154"/>
      <c r="D15" s="154"/>
      <c r="E15" s="154"/>
      <c r="F15" s="154"/>
      <c r="G15" s="155"/>
      <c r="H15" s="24"/>
      <c r="I15" s="1"/>
      <c r="J15" s="1"/>
      <c r="K15" s="1"/>
    </row>
    <row r="16" spans="1:13" ht="30" customHeight="1" x14ac:dyDescent="0.25">
      <c r="A16" s="118" t="s">
        <v>18</v>
      </c>
      <c r="B16" s="153" t="s">
        <v>49</v>
      </c>
      <c r="C16" s="154"/>
      <c r="D16" s="154"/>
      <c r="E16" s="154"/>
      <c r="F16" s="154"/>
      <c r="G16" s="155"/>
    </row>
    <row r="17" spans="1:13" s="11" customFormat="1" x14ac:dyDescent="0.25">
      <c r="A17" s="124"/>
      <c r="B17" s="15"/>
      <c r="C17" s="15"/>
      <c r="D17" s="15"/>
      <c r="E17" s="15"/>
      <c r="F17" s="15"/>
      <c r="G17" s="125"/>
    </row>
    <row r="18" spans="1:13" ht="15.75" x14ac:dyDescent="0.25">
      <c r="A18" s="126" t="s">
        <v>19</v>
      </c>
      <c r="B18" s="13"/>
      <c r="C18" s="127"/>
      <c r="D18" s="7"/>
      <c r="E18" s="7"/>
      <c r="F18" s="7"/>
      <c r="G18" s="125"/>
    </row>
    <row r="19" spans="1:13" ht="15.75" customHeight="1" x14ac:dyDescent="0.25">
      <c r="A19" s="156" t="s">
        <v>38</v>
      </c>
      <c r="B19" s="156"/>
      <c r="C19" s="120">
        <v>7.1599999999999997E-2</v>
      </c>
      <c r="D19" s="16"/>
      <c r="E19" s="16"/>
      <c r="F19" s="16"/>
      <c r="G19" s="125"/>
    </row>
    <row r="20" spans="1:13" ht="15.75" customHeight="1" x14ac:dyDescent="0.25">
      <c r="A20" s="156" t="s">
        <v>39</v>
      </c>
      <c r="B20" s="156"/>
      <c r="C20" s="119">
        <v>20</v>
      </c>
      <c r="D20" s="17"/>
      <c r="E20" s="17"/>
      <c r="F20" s="17"/>
      <c r="G20" s="125"/>
    </row>
    <row r="21" spans="1:13" s="2" customFormat="1" ht="15.75" customHeight="1" x14ac:dyDescent="0.25">
      <c r="A21" s="150" t="s">
        <v>9</v>
      </c>
      <c r="B21" s="150"/>
      <c r="C21" s="121">
        <v>0.2</v>
      </c>
      <c r="D21" s="17"/>
      <c r="E21" s="17"/>
      <c r="F21" s="17"/>
      <c r="G21" s="125"/>
      <c r="H21" s="9"/>
      <c r="I21" s="7"/>
      <c r="J21" s="7"/>
      <c r="K21"/>
      <c r="L21" s="1"/>
      <c r="M21" s="1"/>
    </row>
    <row r="22" spans="1:13" s="3" customFormat="1" ht="15.75" customHeight="1" x14ac:dyDescent="0.25">
      <c r="A22" s="150" t="s">
        <v>40</v>
      </c>
      <c r="B22" s="150"/>
      <c r="C22" s="121">
        <v>0.1</v>
      </c>
      <c r="D22" s="17"/>
      <c r="E22" s="17"/>
      <c r="F22" s="17"/>
      <c r="G22" s="125"/>
      <c r="H22" s="7"/>
      <c r="I22" s="7"/>
      <c r="J22" s="7"/>
      <c r="K22"/>
      <c r="L22"/>
      <c r="M22"/>
    </row>
    <row r="23" spans="1:13" ht="15.75" customHeight="1" x14ac:dyDescent="0.25">
      <c r="A23" s="150" t="s">
        <v>41</v>
      </c>
      <c r="B23" s="150"/>
      <c r="C23" s="121">
        <v>0.05</v>
      </c>
      <c r="D23" s="17"/>
      <c r="E23" s="17"/>
      <c r="F23" s="17"/>
      <c r="G23" s="128"/>
      <c r="H23" s="8"/>
      <c r="I23" s="8"/>
      <c r="J23" s="8"/>
      <c r="K23" s="8"/>
    </row>
    <row r="24" spans="1:13" ht="15.75" customHeight="1" x14ac:dyDescent="0.25">
      <c r="A24" s="150" t="s">
        <v>42</v>
      </c>
      <c r="B24" s="150"/>
      <c r="C24" s="122">
        <v>116.43</v>
      </c>
      <c r="D24" s="17"/>
      <c r="E24" s="17"/>
      <c r="F24" s="17"/>
      <c r="G24" s="125"/>
      <c r="H24" s="9"/>
      <c r="I24" s="9"/>
      <c r="J24" s="9"/>
    </row>
    <row r="25" spans="1:13" x14ac:dyDescent="0.25">
      <c r="A25" s="18"/>
      <c r="B25" s="7"/>
      <c r="C25" s="7"/>
      <c r="D25" s="7"/>
      <c r="E25" s="7"/>
      <c r="F25" s="7"/>
      <c r="G25" s="125"/>
      <c r="H25" s="9"/>
      <c r="I25" s="9"/>
      <c r="J25" s="9"/>
    </row>
    <row r="26" spans="1:13" ht="30.75" customHeight="1" x14ac:dyDescent="0.25">
      <c r="A26" s="141" t="s">
        <v>28</v>
      </c>
      <c r="B26" s="142"/>
      <c r="C26" s="142"/>
      <c r="D26" s="142"/>
      <c r="E26" s="142"/>
      <c r="F26" s="142"/>
      <c r="G26" s="143"/>
    </row>
    <row r="27" spans="1:13" ht="30.75" customHeight="1" x14ac:dyDescent="0.25">
      <c r="A27" s="141" t="s">
        <v>32</v>
      </c>
      <c r="B27" s="142"/>
      <c r="C27" s="142"/>
      <c r="D27" s="142"/>
      <c r="E27" s="142"/>
      <c r="F27" s="142"/>
      <c r="G27" s="143"/>
      <c r="L27" s="8"/>
      <c r="M27" s="8"/>
    </row>
    <row r="28" spans="1:13" ht="30" customHeight="1" x14ac:dyDescent="0.25">
      <c r="A28" s="141" t="s">
        <v>31</v>
      </c>
      <c r="B28" s="142"/>
      <c r="C28" s="142"/>
      <c r="D28" s="142"/>
      <c r="E28" s="142"/>
      <c r="F28" s="142"/>
      <c r="G28" s="143"/>
    </row>
    <row r="29" spans="1:13" ht="15.75" customHeight="1" x14ac:dyDescent="0.25">
      <c r="A29" s="144" t="s">
        <v>34</v>
      </c>
      <c r="B29" s="145"/>
      <c r="C29" s="145"/>
      <c r="D29" s="145"/>
      <c r="E29" s="145"/>
      <c r="F29" s="145"/>
      <c r="G29" s="146"/>
      <c r="H29" s="11"/>
    </row>
    <row r="30" spans="1:13" ht="15.75" customHeight="1" x14ac:dyDescent="0.25">
      <c r="A30" s="129" t="s">
        <v>43</v>
      </c>
      <c r="B30" s="130"/>
      <c r="C30" s="130"/>
      <c r="D30" s="130"/>
      <c r="E30" s="130"/>
      <c r="F30" s="130"/>
      <c r="G30" s="131"/>
    </row>
    <row r="31" spans="1:13" ht="15.75" customHeight="1" x14ac:dyDescent="0.25">
      <c r="A31" s="141" t="s">
        <v>44</v>
      </c>
      <c r="B31" s="151"/>
      <c r="C31" s="151"/>
      <c r="D31" s="151"/>
      <c r="E31" s="151"/>
      <c r="F31" s="151"/>
      <c r="G31" s="152"/>
    </row>
    <row r="32" spans="1:13" ht="122.25" customHeight="1" x14ac:dyDescent="0.25">
      <c r="A32" s="141" t="s">
        <v>45</v>
      </c>
      <c r="B32" s="142"/>
      <c r="C32" s="142"/>
      <c r="D32" s="142"/>
      <c r="E32" s="142"/>
      <c r="F32" s="142"/>
      <c r="G32" s="143"/>
      <c r="L32" s="4"/>
      <c r="M32" s="4"/>
    </row>
    <row r="33" spans="1:14" ht="97.5" customHeight="1" x14ac:dyDescent="0.25">
      <c r="A33" s="141" t="s">
        <v>46</v>
      </c>
      <c r="B33" s="151"/>
      <c r="C33" s="151"/>
      <c r="D33" s="151"/>
      <c r="E33" s="151"/>
      <c r="F33" s="151"/>
      <c r="G33" s="152"/>
    </row>
    <row r="34" spans="1:14" s="1" customFormat="1" ht="18" customHeight="1" x14ac:dyDescent="0.25">
      <c r="A34" s="144" t="s">
        <v>47</v>
      </c>
      <c r="B34" s="145"/>
      <c r="C34" s="145"/>
      <c r="D34" s="145"/>
      <c r="E34" s="145"/>
      <c r="F34" s="145"/>
      <c r="G34" s="146"/>
      <c r="H34"/>
      <c r="I34"/>
      <c r="J34"/>
      <c r="K34"/>
      <c r="L34"/>
      <c r="M34"/>
    </row>
    <row r="35" spans="1:14" ht="33" customHeight="1" x14ac:dyDescent="0.25">
      <c r="A35" s="141" t="s">
        <v>48</v>
      </c>
      <c r="B35" s="142"/>
      <c r="C35" s="142"/>
      <c r="D35" s="142"/>
      <c r="E35" s="142"/>
      <c r="F35" s="142"/>
      <c r="G35" s="143"/>
    </row>
    <row r="36" spans="1:14" ht="21" customHeight="1" x14ac:dyDescent="0.25">
      <c r="A36" s="141" t="s">
        <v>53</v>
      </c>
      <c r="B36" s="142"/>
      <c r="C36" s="142"/>
      <c r="D36" s="142"/>
      <c r="E36" s="142"/>
      <c r="F36" s="142"/>
      <c r="G36" s="143"/>
    </row>
    <row r="37" spans="1:14" ht="53.25" customHeight="1" x14ac:dyDescent="0.25">
      <c r="A37" s="132" t="s">
        <v>50</v>
      </c>
      <c r="B37" s="133"/>
      <c r="C37" s="133"/>
      <c r="D37" s="133"/>
      <c r="E37" s="133"/>
      <c r="F37" s="133"/>
      <c r="G37" s="134"/>
    </row>
    <row r="38" spans="1:14" ht="39" customHeight="1" x14ac:dyDescent="0.25"/>
    <row r="39" spans="1:14" x14ac:dyDescent="0.25">
      <c r="A39" s="11"/>
    </row>
    <row r="41" spans="1:14" x14ac:dyDescent="0.25">
      <c r="N41" s="5"/>
    </row>
    <row r="46" spans="1:14" ht="15.75" hidden="1" customHeight="1" thickBot="1" x14ac:dyDescent="0.3">
      <c r="N46" s="4" t="e">
        <f>#REF!*(80-#REF!)</f>
        <v>#REF!</v>
      </c>
    </row>
  </sheetData>
  <mergeCells count="23">
    <mergeCell ref="B15:G15"/>
    <mergeCell ref="A31:G31"/>
    <mergeCell ref="A32:G32"/>
    <mergeCell ref="A19:B19"/>
    <mergeCell ref="A20:B20"/>
    <mergeCell ref="A21:B21"/>
    <mergeCell ref="A22:B22"/>
    <mergeCell ref="A37:G37"/>
    <mergeCell ref="A1:G1"/>
    <mergeCell ref="A2:G2"/>
    <mergeCell ref="A26:G26"/>
    <mergeCell ref="A27:G27"/>
    <mergeCell ref="A28:G28"/>
    <mergeCell ref="A29:G29"/>
    <mergeCell ref="A12:F12"/>
    <mergeCell ref="A23:B23"/>
    <mergeCell ref="A14:F14"/>
    <mergeCell ref="A36:G36"/>
    <mergeCell ref="A33:G33"/>
    <mergeCell ref="A34:G34"/>
    <mergeCell ref="A35:G35"/>
    <mergeCell ref="A24:B24"/>
    <mergeCell ref="B16:G16"/>
  </mergeCells>
  <phoneticPr fontId="3" type="noConversion"/>
  <pageMargins left="0.7" right="0.7" top="0.75" bottom="0.75" header="0.3" footer="0.3"/>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zoomScale="130" zoomScaleNormal="130" workbookViewId="0">
      <selection sqref="A1:M1"/>
    </sheetView>
  </sheetViews>
  <sheetFormatPr defaultRowHeight="12.75" x14ac:dyDescent="0.2"/>
  <cols>
    <col min="1" max="1" width="16" style="51" customWidth="1"/>
    <col min="2" max="2" width="17.5703125" style="51" hidden="1" customWidth="1"/>
    <col min="3" max="4" width="16" style="51" customWidth="1"/>
    <col min="5" max="5" width="17.5703125" style="51" hidden="1" customWidth="1"/>
    <col min="6" max="7" width="16" style="51" customWidth="1"/>
    <col min="8" max="8" width="17.5703125" style="51" hidden="1" customWidth="1"/>
    <col min="9" max="10" width="16" style="51" customWidth="1"/>
    <col min="11" max="11" width="17.5703125" style="51" hidden="1" customWidth="1"/>
    <col min="12" max="13" width="16" style="51" customWidth="1"/>
    <col min="14" max="15" width="9.140625" style="51"/>
    <col min="16" max="22" width="18" style="51" customWidth="1"/>
    <col min="23" max="27" width="15.140625" style="51" customWidth="1"/>
    <col min="28" max="16384" width="9.140625" style="51"/>
  </cols>
  <sheetData>
    <row r="1" spans="1:27" s="26" customFormat="1" ht="20.25" customHeight="1" thickBot="1" x14ac:dyDescent="0.35">
      <c r="A1" s="160" t="s">
        <v>54</v>
      </c>
      <c r="B1" s="160"/>
      <c r="C1" s="160"/>
      <c r="D1" s="160"/>
      <c r="E1" s="160"/>
      <c r="F1" s="160"/>
      <c r="G1" s="160"/>
      <c r="H1" s="160"/>
      <c r="I1" s="160"/>
      <c r="J1" s="160"/>
      <c r="K1" s="160"/>
      <c r="L1" s="160"/>
      <c r="M1" s="161"/>
      <c r="P1" s="27"/>
      <c r="Q1" s="28"/>
      <c r="R1" s="28"/>
      <c r="S1" s="28"/>
      <c r="T1" s="28"/>
      <c r="U1" s="28"/>
      <c r="V1" s="28"/>
      <c r="W1" s="28"/>
      <c r="X1" s="28"/>
      <c r="Y1" s="28"/>
      <c r="Z1" s="28"/>
      <c r="AA1" s="28"/>
    </row>
    <row r="2" spans="1:27" s="26" customFormat="1" ht="15" customHeight="1" x14ac:dyDescent="0.25">
      <c r="A2" s="162" t="s">
        <v>55</v>
      </c>
      <c r="B2" s="164" t="s">
        <v>56</v>
      </c>
      <c r="C2" s="165"/>
      <c r="D2" s="165"/>
      <c r="E2" s="165"/>
      <c r="F2" s="165"/>
      <c r="G2" s="165"/>
      <c r="H2" s="165"/>
      <c r="I2" s="165"/>
      <c r="J2" s="165"/>
      <c r="K2" s="165"/>
      <c r="L2" s="165"/>
      <c r="M2" s="166"/>
      <c r="P2" s="29"/>
      <c r="Q2" s="30"/>
      <c r="R2" s="28"/>
      <c r="S2" s="28"/>
      <c r="T2" s="28"/>
      <c r="U2" s="28"/>
      <c r="V2" s="28"/>
      <c r="W2" s="30"/>
      <c r="X2" s="30"/>
      <c r="Y2" s="30"/>
      <c r="Z2" s="30"/>
      <c r="AA2" s="30"/>
    </row>
    <row r="3" spans="1:27" s="26" customFormat="1" ht="15" customHeight="1" x14ac:dyDescent="0.25">
      <c r="A3" s="162"/>
      <c r="B3" s="167" t="s">
        <v>57</v>
      </c>
      <c r="C3" s="169" t="s">
        <v>58</v>
      </c>
      <c r="D3" s="170"/>
      <c r="E3" s="167" t="s">
        <v>59</v>
      </c>
      <c r="F3" s="169" t="s">
        <v>60</v>
      </c>
      <c r="G3" s="170"/>
      <c r="H3" s="31"/>
      <c r="I3" s="169" t="s">
        <v>61</v>
      </c>
      <c r="J3" s="170"/>
      <c r="K3" s="31"/>
      <c r="L3" s="169" t="s">
        <v>62</v>
      </c>
      <c r="M3" s="170"/>
      <c r="P3" s="29"/>
      <c r="Q3" s="30"/>
      <c r="R3" s="28"/>
      <c r="S3" s="28"/>
      <c r="T3" s="28"/>
      <c r="U3" s="28"/>
      <c r="V3" s="28"/>
      <c r="W3" s="30"/>
      <c r="X3" s="30"/>
      <c r="Y3" s="30"/>
      <c r="Z3" s="30"/>
      <c r="AA3" s="30"/>
    </row>
    <row r="4" spans="1:27" s="26" customFormat="1" ht="15" customHeight="1" x14ac:dyDescent="0.25">
      <c r="A4" s="163"/>
      <c r="B4" s="168"/>
      <c r="C4" s="32" t="s">
        <v>63</v>
      </c>
      <c r="D4" s="33" t="s">
        <v>64</v>
      </c>
      <c r="E4" s="166"/>
      <c r="F4" s="32" t="s">
        <v>63</v>
      </c>
      <c r="G4" s="33" t="s">
        <v>64</v>
      </c>
      <c r="H4" s="34" t="s">
        <v>65</v>
      </c>
      <c r="I4" s="32" t="s">
        <v>63</v>
      </c>
      <c r="J4" s="33" t="s">
        <v>64</v>
      </c>
      <c r="K4" s="34" t="s">
        <v>66</v>
      </c>
      <c r="L4" s="32" t="s">
        <v>63</v>
      </c>
      <c r="M4" s="33" t="s">
        <v>64</v>
      </c>
      <c r="P4" s="28"/>
      <c r="Q4" s="35"/>
      <c r="R4" s="35"/>
      <c r="S4" s="35"/>
      <c r="T4" s="35"/>
      <c r="U4" s="35"/>
      <c r="V4" s="35"/>
      <c r="W4" s="30"/>
      <c r="X4" s="30"/>
      <c r="Y4" s="30"/>
      <c r="Z4" s="29"/>
      <c r="AA4" s="29"/>
    </row>
    <row r="5" spans="1:27" s="26" customFormat="1" ht="15" customHeight="1" x14ac:dyDescent="0.25">
      <c r="A5" s="36" t="s">
        <v>67</v>
      </c>
      <c r="B5" s="37">
        <f>[1]Demand!M10</f>
        <v>10365281.306599999</v>
      </c>
      <c r="C5" s="38">
        <v>0</v>
      </c>
      <c r="D5" s="39">
        <f>ROUND($B$5,4-LEN(INT($B$5)))</f>
        <v>10370000</v>
      </c>
      <c r="E5" s="40">
        <f>[1]Demand!Z10</f>
        <v>5182640.6532999994</v>
      </c>
      <c r="F5" s="38">
        <v>5.18</v>
      </c>
      <c r="G5" s="39">
        <f>ROUND($E$5,3-LEN(INT($E$5)))</f>
        <v>5180000</v>
      </c>
      <c r="H5" s="40">
        <f>[1]Demand!Z18</f>
        <v>2591320.3266499997</v>
      </c>
      <c r="I5" s="38">
        <v>2.59</v>
      </c>
      <c r="J5" s="39">
        <f>ROUND($H$5,3-LEN(INT($H$5)))</f>
        <v>2590000</v>
      </c>
      <c r="K5" s="40">
        <f>[1]Demand!Z26</f>
        <v>498213.97469800001</v>
      </c>
      <c r="L5" s="38">
        <v>0.5</v>
      </c>
      <c r="M5" s="39">
        <f>ROUND($K$5,2-LEN(INT($K$5)))</f>
        <v>500000</v>
      </c>
      <c r="P5" s="29"/>
      <c r="Q5" s="30"/>
      <c r="R5" s="30"/>
      <c r="S5" s="30"/>
      <c r="T5" s="30"/>
      <c r="U5" s="30"/>
      <c r="V5" s="30"/>
      <c r="W5" s="30"/>
      <c r="X5" s="30"/>
      <c r="Y5" s="30"/>
      <c r="Z5" s="29"/>
      <c r="AA5" s="29"/>
    </row>
    <row r="6" spans="1:27" s="26" customFormat="1" ht="15" x14ac:dyDescent="0.25">
      <c r="A6" s="36" t="s">
        <v>68</v>
      </c>
      <c r="B6" s="37">
        <f>B5+(B5*0.5)</f>
        <v>15547921.959899999</v>
      </c>
      <c r="C6" s="41">
        <f>D6-D5</f>
        <v>5180000</v>
      </c>
      <c r="D6" s="39">
        <f>ROUND($B$6,4-LEN(INT($B$6)))</f>
        <v>15550000</v>
      </c>
      <c r="E6" s="40">
        <f>E5+(E5*0.5)</f>
        <v>7773960.9799499996</v>
      </c>
      <c r="F6" s="42">
        <v>2.6</v>
      </c>
      <c r="G6" s="39">
        <f>ROUND($E$6,3-LEN(INT($E$6)))</f>
        <v>7770000</v>
      </c>
      <c r="H6" s="40">
        <f>H5+(H5*0.5)</f>
        <v>3886980.4899749998</v>
      </c>
      <c r="I6" s="39">
        <f>J6-J5</f>
        <v>1300000</v>
      </c>
      <c r="J6" s="39">
        <f>ROUND($H$6,3-LEN(INT($H$6)))</f>
        <v>3890000</v>
      </c>
      <c r="K6" s="40">
        <f>K5*2</f>
        <v>996427.94939600001</v>
      </c>
      <c r="L6" s="39">
        <f>M6-M5</f>
        <v>500000</v>
      </c>
      <c r="M6" s="39">
        <f>ROUND($K$6,2-LEN(INT($K$6)))</f>
        <v>1000000</v>
      </c>
      <c r="P6" s="29"/>
      <c r="Q6" s="30"/>
      <c r="R6" s="30"/>
      <c r="S6" s="30"/>
      <c r="T6" s="30"/>
      <c r="U6" s="30"/>
      <c r="V6" s="30"/>
      <c r="W6" s="30"/>
      <c r="X6" s="30"/>
      <c r="Y6" s="30"/>
      <c r="Z6" s="29"/>
      <c r="AA6" s="29"/>
    </row>
    <row r="7" spans="1:27" s="26" customFormat="1" ht="15" customHeight="1" thickBot="1" x14ac:dyDescent="0.3">
      <c r="A7" s="43" t="s">
        <v>69</v>
      </c>
      <c r="B7" s="44">
        <f>B6+(B5*0.5)</f>
        <v>20730562.613199998</v>
      </c>
      <c r="C7" s="45">
        <f>D7-D6</f>
        <v>5180000</v>
      </c>
      <c r="D7" s="46">
        <f>ROUND($B$7,4-LEN(INT($B$7)))</f>
        <v>20730000</v>
      </c>
      <c r="E7" s="44">
        <f>E6+(E5*0.5)</f>
        <v>10365281.306599999</v>
      </c>
      <c r="F7" s="46">
        <f>G7-G6</f>
        <v>2600000</v>
      </c>
      <c r="G7" s="46">
        <f>ROUND($E$7,4-LEN(INT($E$7)))</f>
        <v>10370000</v>
      </c>
      <c r="H7" s="44">
        <f>H6+(H5*0.5)</f>
        <v>5182640.6532999994</v>
      </c>
      <c r="I7" s="47">
        <v>1.3</v>
      </c>
      <c r="J7" s="46">
        <f>ROUND($H$7,3-LEN(INT($H$7)))</f>
        <v>5180000</v>
      </c>
      <c r="K7" s="44">
        <f>K5*3</f>
        <v>1494641.9240939999</v>
      </c>
      <c r="L7" s="46">
        <f>M7-M6</f>
        <v>500000</v>
      </c>
      <c r="M7" s="46">
        <f>ROUND($K$7,2-LEN(INT($K$7)))</f>
        <v>1500000</v>
      </c>
      <c r="P7" s="29"/>
      <c r="Q7" s="30"/>
      <c r="R7" s="30"/>
      <c r="S7" s="30"/>
      <c r="T7" s="30"/>
      <c r="U7" s="30"/>
      <c r="V7" s="30"/>
      <c r="W7" s="30"/>
      <c r="X7" s="30"/>
      <c r="Y7" s="30"/>
      <c r="Z7" s="29"/>
      <c r="AA7" s="29"/>
    </row>
    <row r="8" spans="1:27" s="26" customFormat="1" ht="15" customHeight="1" x14ac:dyDescent="0.25">
      <c r="A8" s="171" t="s">
        <v>70</v>
      </c>
      <c r="B8" s="172"/>
      <c r="C8" s="172"/>
      <c r="D8" s="172"/>
      <c r="E8" s="172"/>
      <c r="F8" s="172"/>
      <c r="G8" s="172"/>
      <c r="H8" s="172"/>
      <c r="I8" s="172"/>
      <c r="J8" s="172"/>
      <c r="K8" s="172"/>
      <c r="L8" s="172"/>
      <c r="M8" s="173"/>
      <c r="P8" s="29"/>
      <c r="Q8" s="30"/>
      <c r="R8" s="30"/>
      <c r="S8" s="30"/>
      <c r="T8" s="30"/>
      <c r="U8" s="30"/>
      <c r="V8" s="30"/>
      <c r="W8" s="30"/>
      <c r="X8" s="30"/>
      <c r="Y8" s="30"/>
      <c r="Z8" s="29"/>
      <c r="AA8" s="29"/>
    </row>
    <row r="9" spans="1:27" s="26" customFormat="1" ht="72" customHeight="1" x14ac:dyDescent="0.25">
      <c r="A9" s="174" t="s">
        <v>71</v>
      </c>
      <c r="B9" s="175"/>
      <c r="C9" s="175"/>
      <c r="D9" s="175"/>
      <c r="E9" s="175"/>
      <c r="F9" s="175"/>
      <c r="G9" s="175"/>
      <c r="H9" s="175"/>
      <c r="I9" s="175"/>
      <c r="J9" s="175"/>
      <c r="K9" s="175"/>
      <c r="L9" s="175"/>
      <c r="M9" s="176"/>
      <c r="N9" s="29"/>
      <c r="O9" s="29"/>
      <c r="P9" s="29"/>
      <c r="Q9" s="30"/>
      <c r="R9" s="30"/>
      <c r="S9" s="30"/>
      <c r="T9" s="30"/>
      <c r="U9" s="30"/>
      <c r="V9" s="30"/>
      <c r="W9" s="30"/>
      <c r="X9" s="30"/>
      <c r="Y9" s="30"/>
      <c r="Z9" s="29"/>
      <c r="AA9" s="29"/>
    </row>
    <row r="10" spans="1:27" s="26" customFormat="1" ht="30.75" customHeight="1" x14ac:dyDescent="0.25">
      <c r="A10" s="177" t="s">
        <v>72</v>
      </c>
      <c r="B10" s="176"/>
      <c r="C10" s="176"/>
      <c r="D10" s="176"/>
      <c r="E10" s="176"/>
      <c r="F10" s="176"/>
      <c r="G10" s="176"/>
      <c r="H10" s="176"/>
      <c r="I10" s="176"/>
      <c r="J10" s="176"/>
      <c r="K10" s="176"/>
      <c r="L10" s="176"/>
      <c r="M10" s="176"/>
      <c r="N10" s="29"/>
      <c r="O10" s="29"/>
      <c r="P10" s="29"/>
      <c r="Q10" s="30"/>
      <c r="R10" s="30"/>
      <c r="S10" s="30"/>
      <c r="T10" s="30"/>
      <c r="U10" s="30"/>
      <c r="V10" s="30"/>
      <c r="W10" s="30"/>
      <c r="X10" s="30"/>
      <c r="Y10" s="30"/>
      <c r="Z10" s="29"/>
      <c r="AA10" s="29"/>
    </row>
    <row r="11" spans="1:27" s="26" customFormat="1" ht="32.25" customHeight="1" x14ac:dyDescent="0.25">
      <c r="A11" s="174" t="s">
        <v>73</v>
      </c>
      <c r="B11" s="175"/>
      <c r="C11" s="175"/>
      <c r="D11" s="175"/>
      <c r="E11" s="175"/>
      <c r="F11" s="175"/>
      <c r="G11" s="175"/>
      <c r="H11" s="175"/>
      <c r="I11" s="175"/>
      <c r="J11" s="175"/>
      <c r="K11" s="175"/>
      <c r="L11" s="175"/>
      <c r="M11" s="176"/>
      <c r="N11" s="29"/>
      <c r="O11" s="29"/>
      <c r="P11" s="29"/>
      <c r="Q11" s="30"/>
      <c r="R11" s="30"/>
      <c r="S11" s="30"/>
      <c r="T11" s="30"/>
      <c r="U11" s="30"/>
      <c r="V11" s="30"/>
      <c r="W11" s="30"/>
      <c r="X11" s="30"/>
      <c r="Y11" s="30"/>
      <c r="Z11" s="30"/>
      <c r="AA11" s="30"/>
    </row>
    <row r="12" spans="1:27" s="26" customFormat="1" ht="53.25" customHeight="1" x14ac:dyDescent="0.25">
      <c r="A12" s="177" t="s">
        <v>74</v>
      </c>
      <c r="B12" s="176"/>
      <c r="C12" s="176"/>
      <c r="D12" s="176"/>
      <c r="E12" s="176"/>
      <c r="F12" s="176"/>
      <c r="G12" s="176"/>
      <c r="H12" s="176"/>
      <c r="I12" s="176"/>
      <c r="J12" s="176"/>
      <c r="K12" s="176"/>
      <c r="L12" s="176"/>
      <c r="M12" s="176"/>
      <c r="N12" s="29"/>
      <c r="O12" s="29"/>
      <c r="P12" s="29"/>
      <c r="Q12" s="30"/>
      <c r="R12" s="28"/>
      <c r="S12" s="28"/>
      <c r="T12" s="28"/>
      <c r="U12" s="28"/>
      <c r="V12" s="28"/>
      <c r="W12" s="30"/>
      <c r="X12" s="30"/>
      <c r="Y12" s="30"/>
      <c r="Z12" s="30"/>
      <c r="AA12" s="30"/>
    </row>
    <row r="13" spans="1:27" s="26" customFormat="1" ht="31.5" customHeight="1" x14ac:dyDescent="0.25">
      <c r="A13" s="157" t="s">
        <v>75</v>
      </c>
      <c r="B13" s="158"/>
      <c r="C13" s="158"/>
      <c r="D13" s="158"/>
      <c r="E13" s="158"/>
      <c r="F13" s="158"/>
      <c r="G13" s="158"/>
      <c r="H13" s="158"/>
      <c r="I13" s="158"/>
      <c r="J13" s="158"/>
      <c r="K13" s="158"/>
      <c r="L13" s="158"/>
      <c r="M13" s="159"/>
      <c r="N13" s="29"/>
      <c r="O13" s="29"/>
      <c r="P13" s="29"/>
      <c r="Q13" s="30"/>
      <c r="R13" s="28"/>
      <c r="S13" s="28"/>
      <c r="T13" s="28"/>
      <c r="U13" s="28"/>
      <c r="V13" s="28"/>
      <c r="W13" s="30"/>
      <c r="X13" s="30"/>
      <c r="Y13" s="30"/>
      <c r="Z13" s="30"/>
      <c r="AA13" s="30"/>
    </row>
    <row r="14" spans="1:27" s="26" customFormat="1" ht="15" x14ac:dyDescent="0.25">
      <c r="A14" s="48"/>
      <c r="B14" s="48"/>
      <c r="C14" s="48"/>
      <c r="D14" s="48"/>
      <c r="E14" s="48"/>
      <c r="F14" s="48"/>
      <c r="G14" s="48"/>
      <c r="H14" s="48"/>
      <c r="I14" s="48"/>
      <c r="J14" s="48"/>
      <c r="K14" s="48"/>
      <c r="L14" s="48"/>
      <c r="M14" s="29"/>
      <c r="N14" s="29"/>
      <c r="O14" s="29"/>
      <c r="P14" s="29"/>
      <c r="Q14" s="30"/>
      <c r="R14" s="28"/>
      <c r="S14" s="28"/>
      <c r="T14" s="28"/>
      <c r="U14" s="28"/>
      <c r="V14" s="28"/>
      <c r="W14" s="30"/>
      <c r="X14" s="30"/>
      <c r="Y14" s="30"/>
      <c r="Z14" s="30"/>
      <c r="AA14" s="30"/>
    </row>
    <row r="15" spans="1:27" s="26" customFormat="1" ht="15" x14ac:dyDescent="0.25">
      <c r="A15" s="48"/>
      <c r="B15" s="48"/>
      <c r="C15" s="48"/>
      <c r="D15" s="48"/>
      <c r="E15" s="48"/>
      <c r="F15" s="48"/>
      <c r="G15" s="48"/>
      <c r="H15" s="48"/>
      <c r="I15" s="48"/>
      <c r="J15" s="48"/>
      <c r="K15" s="48"/>
      <c r="L15" s="48"/>
      <c r="M15" s="29"/>
      <c r="N15" s="29"/>
      <c r="O15" s="29"/>
      <c r="P15" s="29"/>
      <c r="Q15" s="30"/>
      <c r="R15" s="28"/>
      <c r="S15" s="28"/>
      <c r="T15" s="28"/>
      <c r="U15" s="28"/>
      <c r="V15" s="28"/>
      <c r="W15" s="30"/>
      <c r="X15" s="30"/>
      <c r="Y15" s="30"/>
      <c r="Z15" s="30"/>
      <c r="AA15" s="30"/>
    </row>
    <row r="16" spans="1:27" s="26" customFormat="1" ht="15" x14ac:dyDescent="0.2">
      <c r="A16" s="29"/>
      <c r="B16" s="49"/>
      <c r="C16" s="49"/>
      <c r="D16" s="49"/>
      <c r="E16" s="49"/>
      <c r="F16" s="49"/>
      <c r="G16" s="49"/>
      <c r="H16" s="49"/>
      <c r="I16" s="49"/>
      <c r="J16" s="49"/>
      <c r="K16" s="49"/>
      <c r="L16" s="49"/>
      <c r="M16" s="49"/>
      <c r="N16" s="49"/>
      <c r="O16" s="49"/>
      <c r="P16" s="29"/>
      <c r="Q16" s="30"/>
      <c r="R16" s="28"/>
      <c r="S16" s="28"/>
      <c r="T16" s="28"/>
      <c r="U16" s="28"/>
      <c r="V16" s="28"/>
      <c r="W16" s="30"/>
      <c r="X16" s="30"/>
      <c r="Y16" s="30"/>
      <c r="Z16" s="30"/>
      <c r="AA16" s="30"/>
    </row>
    <row r="17" spans="1:27" s="26" customFormat="1" x14ac:dyDescent="0.2">
      <c r="A17" s="29"/>
      <c r="B17" s="49"/>
      <c r="C17" s="49"/>
      <c r="D17" s="49"/>
      <c r="E17" s="49"/>
      <c r="F17" s="49"/>
      <c r="G17" s="49"/>
      <c r="H17" s="49"/>
      <c r="I17" s="49"/>
      <c r="J17" s="49"/>
      <c r="K17" s="49"/>
      <c r="L17" s="49"/>
      <c r="M17" s="49"/>
      <c r="N17" s="49"/>
      <c r="O17" s="49"/>
      <c r="P17" s="29"/>
      <c r="Q17" s="30"/>
      <c r="R17" s="30"/>
      <c r="S17" s="30"/>
      <c r="T17" s="30"/>
      <c r="U17" s="30"/>
      <c r="V17" s="30"/>
      <c r="W17" s="30"/>
      <c r="X17" s="30"/>
      <c r="Y17" s="30"/>
      <c r="Z17" s="30"/>
      <c r="AA17" s="30"/>
    </row>
    <row r="18" spans="1:27" s="26" customFormat="1" x14ac:dyDescent="0.2">
      <c r="A18" s="29"/>
      <c r="B18" s="49"/>
      <c r="C18" s="49"/>
      <c r="D18" s="49"/>
      <c r="E18" s="49"/>
      <c r="F18" s="49"/>
      <c r="G18" s="49"/>
      <c r="H18" s="49"/>
      <c r="I18" s="49"/>
      <c r="J18" s="49"/>
      <c r="K18" s="49"/>
      <c r="L18" s="49"/>
      <c r="M18" s="49"/>
      <c r="N18" s="49"/>
      <c r="O18" s="49"/>
      <c r="P18" s="29"/>
      <c r="Q18" s="30"/>
      <c r="R18" s="30"/>
      <c r="S18" s="30"/>
      <c r="T18" s="30"/>
      <c r="U18" s="30"/>
      <c r="V18" s="30"/>
      <c r="W18" s="30"/>
      <c r="X18" s="30"/>
      <c r="Y18" s="30"/>
      <c r="Z18" s="30"/>
      <c r="AA18" s="30"/>
    </row>
    <row r="19" spans="1:27" s="26" customFormat="1" x14ac:dyDescent="0.25">
      <c r="P19" s="29"/>
      <c r="Q19" s="30"/>
      <c r="R19" s="30"/>
      <c r="S19" s="30"/>
      <c r="T19" s="30"/>
      <c r="U19" s="30"/>
      <c r="V19" s="30"/>
      <c r="W19" s="30"/>
      <c r="X19" s="30"/>
      <c r="Y19" s="30"/>
      <c r="Z19" s="30"/>
      <c r="AA19" s="30"/>
    </row>
    <row r="20" spans="1:27" s="26" customFormat="1" x14ac:dyDescent="0.25">
      <c r="Q20" s="50"/>
      <c r="R20" s="50"/>
      <c r="S20" s="50"/>
      <c r="T20" s="50"/>
      <c r="U20" s="50"/>
      <c r="V20" s="50"/>
      <c r="W20" s="50"/>
      <c r="X20" s="50"/>
      <c r="Y20" s="50"/>
      <c r="Z20" s="50"/>
      <c r="AA20" s="50"/>
    </row>
    <row r="21" spans="1:27" s="26" customFormat="1" x14ac:dyDescent="0.25">
      <c r="Q21" s="50"/>
      <c r="R21" s="50"/>
      <c r="S21" s="50"/>
      <c r="T21" s="50"/>
      <c r="U21" s="50"/>
      <c r="V21" s="50"/>
      <c r="W21" s="50"/>
      <c r="X21" s="50"/>
      <c r="Y21" s="50"/>
      <c r="Z21" s="50"/>
      <c r="AA21" s="50"/>
    </row>
    <row r="22" spans="1:27" s="26" customFormat="1" x14ac:dyDescent="0.25">
      <c r="Q22" s="50"/>
      <c r="R22" s="50"/>
      <c r="S22" s="50"/>
      <c r="T22" s="50"/>
      <c r="U22" s="50"/>
      <c r="V22" s="50"/>
      <c r="W22" s="50"/>
      <c r="X22" s="50"/>
      <c r="Y22" s="50"/>
      <c r="Z22" s="50"/>
      <c r="AA22" s="50"/>
    </row>
    <row r="23" spans="1:27" s="26" customFormat="1" x14ac:dyDescent="0.25">
      <c r="Q23" s="50"/>
      <c r="R23" s="50"/>
      <c r="S23" s="50"/>
      <c r="T23" s="50"/>
      <c r="U23" s="50"/>
      <c r="V23" s="50"/>
      <c r="W23" s="50"/>
      <c r="X23" s="50"/>
      <c r="Y23" s="50"/>
      <c r="Z23" s="50"/>
      <c r="AA23" s="50"/>
    </row>
    <row r="24" spans="1:27" s="26" customFormat="1" x14ac:dyDescent="0.25">
      <c r="Q24" s="50"/>
      <c r="R24" s="50"/>
      <c r="S24" s="50"/>
      <c r="T24" s="50"/>
      <c r="U24" s="50"/>
      <c r="V24" s="50"/>
      <c r="W24" s="50"/>
      <c r="X24" s="50"/>
      <c r="Y24" s="50"/>
      <c r="Z24" s="50"/>
      <c r="AA24" s="50"/>
    </row>
    <row r="25" spans="1:27" s="26" customFormat="1" x14ac:dyDescent="0.25">
      <c r="Q25" s="50"/>
      <c r="R25" s="50"/>
      <c r="S25" s="50"/>
      <c r="T25" s="50"/>
      <c r="U25" s="50"/>
      <c r="V25" s="50"/>
      <c r="W25" s="50"/>
      <c r="X25" s="50"/>
      <c r="Y25" s="50"/>
      <c r="Z25" s="50"/>
      <c r="AA25" s="50"/>
    </row>
    <row r="26" spans="1:27" s="26" customFormat="1" x14ac:dyDescent="0.25">
      <c r="Q26" s="50"/>
      <c r="R26" s="50"/>
      <c r="S26" s="50"/>
      <c r="T26" s="50"/>
      <c r="U26" s="50"/>
      <c r="V26" s="50"/>
      <c r="W26" s="50"/>
      <c r="X26" s="50"/>
      <c r="Y26" s="50"/>
      <c r="Z26" s="50"/>
      <c r="AA26" s="50"/>
    </row>
    <row r="27" spans="1:27" s="26" customFormat="1" x14ac:dyDescent="0.25">
      <c r="Q27" s="50"/>
      <c r="R27" s="50"/>
      <c r="S27" s="50"/>
      <c r="T27" s="50"/>
      <c r="U27" s="50"/>
      <c r="V27" s="50"/>
      <c r="W27" s="50"/>
      <c r="X27" s="50"/>
      <c r="Y27" s="50"/>
      <c r="Z27" s="50"/>
      <c r="AA27" s="50"/>
    </row>
    <row r="28" spans="1:27" s="26" customFormat="1" x14ac:dyDescent="0.25">
      <c r="Q28" s="50"/>
      <c r="R28" s="50"/>
      <c r="S28" s="50"/>
      <c r="T28" s="50"/>
      <c r="U28" s="50"/>
      <c r="V28" s="50"/>
      <c r="W28" s="50"/>
      <c r="X28" s="50"/>
      <c r="Y28" s="50"/>
      <c r="Z28" s="50"/>
      <c r="AA28" s="50"/>
    </row>
    <row r="29" spans="1:27" s="26" customFormat="1" x14ac:dyDescent="0.25">
      <c r="Q29" s="50"/>
      <c r="R29" s="50"/>
      <c r="S29" s="50"/>
      <c r="T29" s="50"/>
      <c r="U29" s="50"/>
      <c r="V29" s="50"/>
      <c r="W29" s="50"/>
      <c r="X29" s="50"/>
      <c r="Y29" s="50"/>
      <c r="Z29" s="50"/>
      <c r="AA29" s="50"/>
    </row>
    <row r="30" spans="1:27" ht="15" customHeight="1" x14ac:dyDescent="0.2"/>
    <row r="31" spans="1:27" ht="30" customHeight="1" x14ac:dyDescent="0.2"/>
    <row r="32" spans="1:27" ht="30" customHeight="1" x14ac:dyDescent="0.2"/>
  </sheetData>
  <mergeCells count="15">
    <mergeCell ref="A13:M13"/>
    <mergeCell ref="A1:M1"/>
    <mergeCell ref="A2:A4"/>
    <mergeCell ref="B2:M2"/>
    <mergeCell ref="B3:B4"/>
    <mergeCell ref="C3:D3"/>
    <mergeCell ref="E3:E4"/>
    <mergeCell ref="F3:G3"/>
    <mergeCell ref="I3:J3"/>
    <mergeCell ref="L3:M3"/>
    <mergeCell ref="A8:M8"/>
    <mergeCell ref="A9:M9"/>
    <mergeCell ref="A10:M10"/>
    <mergeCell ref="A11:M11"/>
    <mergeCell ref="A12:M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130" zoomScaleNormal="130" workbookViewId="0">
      <selection sqref="A1:C1"/>
    </sheetView>
  </sheetViews>
  <sheetFormatPr defaultRowHeight="12.75" x14ac:dyDescent="0.2"/>
  <cols>
    <col min="1" max="3" width="29.5703125" style="65" customWidth="1"/>
    <col min="4" max="6" width="9.140625" style="65"/>
    <col min="7" max="13" width="18" style="65" customWidth="1"/>
    <col min="14" max="18" width="15.140625" style="65" customWidth="1"/>
    <col min="19" max="16384" width="9.140625" style="65"/>
  </cols>
  <sheetData>
    <row r="1" spans="1:18" s="52" customFormat="1" ht="20.25" customHeight="1" x14ac:dyDescent="0.3">
      <c r="A1" s="178" t="s">
        <v>76</v>
      </c>
      <c r="B1" s="178"/>
      <c r="C1" s="178"/>
      <c r="G1" s="53"/>
      <c r="H1" s="54"/>
      <c r="I1" s="54"/>
      <c r="J1" s="54"/>
      <c r="K1" s="54"/>
      <c r="L1" s="54"/>
      <c r="M1" s="54"/>
      <c r="N1" s="54"/>
      <c r="O1" s="54"/>
      <c r="P1" s="54"/>
      <c r="Q1" s="54"/>
      <c r="R1" s="54"/>
    </row>
    <row r="2" spans="1:18" s="52" customFormat="1" ht="15" customHeight="1" x14ac:dyDescent="0.25">
      <c r="A2" s="179" t="s">
        <v>77</v>
      </c>
      <c r="B2" s="181" t="s">
        <v>78</v>
      </c>
      <c r="C2" s="181"/>
      <c r="G2" s="55"/>
      <c r="H2" s="56"/>
      <c r="I2" s="56"/>
      <c r="J2" s="56"/>
      <c r="K2" s="56"/>
      <c r="L2" s="56"/>
      <c r="M2" s="56"/>
      <c r="N2" s="56"/>
      <c r="O2" s="56"/>
      <c r="P2" s="56"/>
      <c r="Q2" s="55"/>
      <c r="R2" s="55"/>
    </row>
    <row r="3" spans="1:18" s="52" customFormat="1" ht="17.25" x14ac:dyDescent="0.25">
      <c r="A3" s="180"/>
      <c r="B3" s="57" t="s">
        <v>79</v>
      </c>
      <c r="C3" s="58" t="s">
        <v>80</v>
      </c>
      <c r="G3" s="55"/>
      <c r="H3" s="56"/>
      <c r="I3" s="56"/>
      <c r="J3" s="56"/>
      <c r="K3" s="56"/>
      <c r="L3" s="56"/>
      <c r="M3" s="56"/>
      <c r="N3" s="56"/>
      <c r="O3" s="56"/>
      <c r="P3" s="56"/>
      <c r="Q3" s="55"/>
      <c r="R3" s="55"/>
    </row>
    <row r="4" spans="1:18" s="52" customFormat="1" ht="15" x14ac:dyDescent="0.25">
      <c r="A4" s="59" t="s">
        <v>81</v>
      </c>
      <c r="B4" s="60">
        <v>1.35</v>
      </c>
      <c r="C4" s="60">
        <v>0.68</v>
      </c>
      <c r="G4" s="55"/>
      <c r="H4" s="56"/>
      <c r="I4" s="56"/>
      <c r="J4" s="56"/>
      <c r="K4" s="56"/>
      <c r="L4" s="56"/>
      <c r="M4" s="56"/>
      <c r="N4" s="56"/>
      <c r="O4" s="56"/>
      <c r="P4" s="56"/>
      <c r="Q4" s="55"/>
      <c r="R4" s="55"/>
    </row>
    <row r="5" spans="1:18" s="52" customFormat="1" ht="15" customHeight="1" x14ac:dyDescent="0.25">
      <c r="A5" s="61">
        <v>2013</v>
      </c>
      <c r="B5" s="60">
        <v>4.0599999999999996</v>
      </c>
      <c r="C5" s="60">
        <v>2.0299999999999998</v>
      </c>
      <c r="G5" s="55"/>
      <c r="H5" s="56"/>
      <c r="I5" s="56"/>
      <c r="J5" s="56"/>
      <c r="K5" s="56"/>
      <c r="L5" s="56"/>
      <c r="M5" s="56"/>
      <c r="N5" s="56"/>
      <c r="O5" s="56"/>
      <c r="P5" s="56"/>
      <c r="Q5" s="55"/>
      <c r="R5" s="55"/>
    </row>
    <row r="6" spans="1:18" s="52" customFormat="1" ht="15" customHeight="1" x14ac:dyDescent="0.25">
      <c r="A6" s="61">
        <v>2014</v>
      </c>
      <c r="B6" s="62">
        <v>4.0599999999999996</v>
      </c>
      <c r="C6" s="62">
        <v>2.0299999999999998</v>
      </c>
      <c r="G6" s="55"/>
      <c r="H6" s="56"/>
      <c r="I6" s="56"/>
      <c r="J6" s="56"/>
      <c r="K6" s="56"/>
      <c r="L6" s="56"/>
      <c r="M6" s="56"/>
      <c r="N6" s="56"/>
      <c r="O6" s="56"/>
      <c r="P6" s="56"/>
      <c r="Q6" s="55"/>
      <c r="R6" s="55"/>
    </row>
    <row r="7" spans="1:18" s="52" customFormat="1" ht="15" customHeight="1" x14ac:dyDescent="0.25">
      <c r="A7" s="61">
        <v>2015</v>
      </c>
      <c r="B7" s="62">
        <v>4.0599999999999996</v>
      </c>
      <c r="C7" s="62">
        <v>2.0299999999999998</v>
      </c>
      <c r="G7" s="55"/>
      <c r="H7" s="56"/>
      <c r="I7" s="56"/>
      <c r="J7" s="56"/>
      <c r="K7" s="56"/>
      <c r="L7" s="56"/>
      <c r="M7" s="56"/>
      <c r="N7" s="56"/>
      <c r="O7" s="56"/>
      <c r="P7" s="56"/>
      <c r="Q7" s="55"/>
      <c r="R7" s="55"/>
    </row>
    <row r="8" spans="1:18" s="52" customFormat="1" ht="15" customHeight="1" x14ac:dyDescent="0.25">
      <c r="A8" s="61">
        <v>2016</v>
      </c>
      <c r="B8" s="62">
        <v>8.1199999999999992</v>
      </c>
      <c r="C8" s="62">
        <v>4.0599999999999996</v>
      </c>
      <c r="G8" s="55"/>
      <c r="H8" s="56"/>
      <c r="I8" s="56"/>
      <c r="J8" s="56"/>
      <c r="K8" s="56"/>
      <c r="L8" s="56"/>
      <c r="M8" s="56"/>
      <c r="N8" s="56"/>
      <c r="O8" s="56"/>
      <c r="P8" s="56"/>
      <c r="Q8" s="55"/>
      <c r="R8" s="55"/>
    </row>
    <row r="9" spans="1:18" s="52" customFormat="1" ht="72.75" customHeight="1" x14ac:dyDescent="0.25">
      <c r="A9" s="182" t="s">
        <v>82</v>
      </c>
      <c r="B9" s="175"/>
      <c r="C9" s="175"/>
      <c r="D9" s="55"/>
      <c r="E9" s="55"/>
      <c r="F9" s="55"/>
      <c r="G9" s="55"/>
      <c r="H9" s="56"/>
      <c r="I9" s="56"/>
      <c r="J9" s="56"/>
      <c r="K9" s="56"/>
      <c r="L9" s="56"/>
      <c r="M9" s="56"/>
      <c r="N9" s="56"/>
      <c r="O9" s="56"/>
      <c r="P9" s="56"/>
      <c r="Q9" s="55"/>
      <c r="R9" s="55"/>
    </row>
    <row r="10" spans="1:18" s="52" customFormat="1" ht="96.75" customHeight="1" x14ac:dyDescent="0.25">
      <c r="A10" s="183" t="s">
        <v>83</v>
      </c>
      <c r="B10" s="184"/>
      <c r="C10" s="185"/>
      <c r="D10" s="55"/>
      <c r="E10" s="55"/>
      <c r="F10" s="55"/>
      <c r="G10" s="55"/>
      <c r="H10" s="56"/>
      <c r="I10" s="54"/>
      <c r="J10" s="54"/>
      <c r="K10" s="54"/>
      <c r="L10" s="54"/>
      <c r="M10" s="54"/>
      <c r="N10" s="56"/>
      <c r="O10" s="56"/>
      <c r="P10" s="56"/>
      <c r="Q10" s="56"/>
      <c r="R10" s="56"/>
    </row>
    <row r="11" spans="1:18" s="52" customFormat="1" ht="56.25" customHeight="1" x14ac:dyDescent="0.25">
      <c r="A11" s="157" t="s">
        <v>84</v>
      </c>
      <c r="B11" s="158"/>
      <c r="C11" s="159"/>
      <c r="D11" s="55"/>
      <c r="E11" s="55"/>
      <c r="F11" s="55"/>
      <c r="G11" s="55"/>
      <c r="H11" s="56"/>
      <c r="I11" s="54"/>
      <c r="J11" s="54"/>
      <c r="K11" s="54"/>
      <c r="L11" s="54"/>
      <c r="M11" s="54"/>
      <c r="N11" s="56"/>
      <c r="O11" s="56"/>
      <c r="P11" s="56"/>
      <c r="Q11" s="56"/>
      <c r="R11" s="56"/>
    </row>
    <row r="12" spans="1:18" s="52" customFormat="1" ht="15" x14ac:dyDescent="0.25">
      <c r="A12" s="63"/>
      <c r="B12" s="63"/>
      <c r="C12" s="63"/>
      <c r="D12" s="55"/>
      <c r="E12" s="55"/>
      <c r="F12" s="55"/>
      <c r="G12" s="55"/>
      <c r="H12" s="56"/>
      <c r="I12" s="54"/>
      <c r="J12" s="54"/>
      <c r="K12" s="54"/>
      <c r="L12" s="54"/>
      <c r="M12" s="54"/>
      <c r="N12" s="56"/>
      <c r="O12" s="56"/>
      <c r="P12" s="56"/>
      <c r="Q12" s="56"/>
      <c r="R12" s="56"/>
    </row>
    <row r="13" spans="1:18" s="52" customFormat="1" ht="15" x14ac:dyDescent="0.2">
      <c r="A13" s="55"/>
      <c r="B13" s="64"/>
      <c r="C13" s="64"/>
      <c r="D13" s="64"/>
      <c r="E13" s="64"/>
      <c r="F13" s="64"/>
      <c r="G13" s="55"/>
      <c r="H13" s="56"/>
      <c r="I13" s="54"/>
      <c r="J13" s="54"/>
      <c r="K13" s="54"/>
      <c r="L13" s="54"/>
      <c r="M13" s="54"/>
      <c r="N13" s="56"/>
      <c r="O13" s="56"/>
      <c r="P13" s="56"/>
      <c r="Q13" s="56"/>
      <c r="R13" s="56"/>
    </row>
    <row r="14" spans="1:18" s="52" customFormat="1" x14ac:dyDescent="0.2">
      <c r="A14" s="55"/>
      <c r="B14" s="64"/>
      <c r="C14" s="64"/>
      <c r="D14" s="64"/>
      <c r="E14" s="64"/>
      <c r="F14" s="64"/>
      <c r="G14" s="55"/>
      <c r="H14" s="56"/>
      <c r="I14" s="56"/>
      <c r="J14" s="56"/>
      <c r="K14" s="56"/>
      <c r="L14" s="56"/>
      <c r="M14" s="56"/>
      <c r="N14" s="56"/>
      <c r="O14" s="56"/>
      <c r="P14" s="56"/>
      <c r="Q14" s="56"/>
      <c r="R14" s="56"/>
    </row>
    <row r="15" spans="1:18" s="52" customFormat="1" x14ac:dyDescent="0.2">
      <c r="A15" s="55"/>
      <c r="B15" s="64"/>
      <c r="C15" s="64"/>
      <c r="D15" s="64"/>
      <c r="E15" s="64"/>
      <c r="F15" s="64"/>
      <c r="G15" s="55"/>
      <c r="H15" s="56"/>
      <c r="I15" s="56"/>
      <c r="J15" s="56"/>
      <c r="K15" s="56"/>
      <c r="L15" s="56"/>
      <c r="M15" s="56"/>
      <c r="N15" s="56"/>
      <c r="O15" s="56"/>
      <c r="P15" s="56"/>
      <c r="Q15" s="56"/>
      <c r="R15" s="56"/>
    </row>
    <row r="16" spans="1:18" s="52" customFormat="1" x14ac:dyDescent="0.25">
      <c r="G16" s="55"/>
      <c r="H16" s="56"/>
      <c r="I16" s="56"/>
      <c r="J16" s="56"/>
      <c r="K16" s="56"/>
      <c r="L16" s="56"/>
      <c r="M16" s="56"/>
      <c r="N16" s="56"/>
      <c r="O16" s="56"/>
      <c r="P16" s="56"/>
      <c r="Q16" s="56"/>
      <c r="R16" s="56"/>
    </row>
    <row r="17" spans="7:18" s="52" customFormat="1" x14ac:dyDescent="0.25">
      <c r="G17" s="26"/>
      <c r="H17" s="50"/>
      <c r="I17" s="50"/>
      <c r="J17" s="50"/>
      <c r="K17" s="50"/>
      <c r="L17" s="50"/>
      <c r="M17" s="50"/>
      <c r="N17" s="50"/>
      <c r="O17" s="50"/>
      <c r="P17" s="50"/>
      <c r="Q17" s="50"/>
      <c r="R17" s="50"/>
    </row>
    <row r="18" spans="7:18" s="52" customFormat="1" x14ac:dyDescent="0.25">
      <c r="G18" s="26"/>
      <c r="H18" s="50"/>
      <c r="I18" s="50"/>
      <c r="J18" s="50"/>
      <c r="K18" s="50"/>
      <c r="L18" s="50"/>
      <c r="M18" s="50"/>
      <c r="N18" s="50"/>
      <c r="O18" s="50"/>
      <c r="P18" s="50"/>
      <c r="Q18" s="50"/>
      <c r="R18" s="50"/>
    </row>
    <row r="19" spans="7:18" s="52" customFormat="1" x14ac:dyDescent="0.25">
      <c r="G19" s="26"/>
      <c r="H19" s="50"/>
      <c r="I19" s="50"/>
      <c r="J19" s="50"/>
      <c r="K19" s="50"/>
      <c r="L19" s="50"/>
      <c r="M19" s="50"/>
      <c r="N19" s="50"/>
      <c r="O19" s="50"/>
      <c r="P19" s="50"/>
      <c r="Q19" s="50"/>
      <c r="R19" s="50"/>
    </row>
    <row r="20" spans="7:18" s="52" customFormat="1" x14ac:dyDescent="0.25">
      <c r="G20" s="26"/>
      <c r="H20" s="50"/>
      <c r="I20" s="50"/>
      <c r="J20" s="50"/>
      <c r="K20" s="50"/>
      <c r="L20" s="50"/>
      <c r="M20" s="50"/>
      <c r="N20" s="50"/>
      <c r="O20" s="50"/>
      <c r="P20" s="50"/>
      <c r="Q20" s="50"/>
      <c r="R20" s="50"/>
    </row>
    <row r="21" spans="7:18" s="52" customFormat="1" x14ac:dyDescent="0.25">
      <c r="G21" s="26"/>
      <c r="H21" s="50"/>
      <c r="I21" s="50"/>
      <c r="J21" s="50"/>
      <c r="K21" s="50"/>
      <c r="L21" s="50"/>
      <c r="M21" s="50"/>
      <c r="N21" s="50"/>
      <c r="O21" s="50"/>
      <c r="P21" s="50"/>
      <c r="Q21" s="50"/>
      <c r="R21" s="50"/>
    </row>
    <row r="22" spans="7:18" s="52" customFormat="1" x14ac:dyDescent="0.25">
      <c r="G22" s="26"/>
      <c r="H22" s="50"/>
      <c r="I22" s="50"/>
      <c r="J22" s="50"/>
      <c r="K22" s="50"/>
      <c r="L22" s="50"/>
      <c r="M22" s="50"/>
      <c r="N22" s="50"/>
      <c r="O22" s="50"/>
      <c r="P22" s="50"/>
      <c r="Q22" s="50"/>
      <c r="R22" s="50"/>
    </row>
    <row r="23" spans="7:18" s="52" customFormat="1" x14ac:dyDescent="0.25">
      <c r="G23" s="26"/>
      <c r="H23" s="50"/>
      <c r="I23" s="50"/>
      <c r="J23" s="50"/>
      <c r="K23" s="50"/>
      <c r="L23" s="50"/>
      <c r="M23" s="50"/>
      <c r="N23" s="50"/>
      <c r="O23" s="50"/>
      <c r="P23" s="50"/>
      <c r="Q23" s="50"/>
      <c r="R23" s="50"/>
    </row>
    <row r="24" spans="7:18" s="52" customFormat="1" x14ac:dyDescent="0.25">
      <c r="G24" s="26"/>
      <c r="H24" s="50"/>
      <c r="I24" s="50"/>
      <c r="J24" s="50"/>
      <c r="K24" s="50"/>
      <c r="L24" s="50"/>
      <c r="M24" s="50"/>
      <c r="N24" s="50"/>
      <c r="O24" s="50"/>
      <c r="P24" s="50"/>
      <c r="Q24" s="50"/>
      <c r="R24" s="50"/>
    </row>
    <row r="25" spans="7:18" s="52" customFormat="1" x14ac:dyDescent="0.25">
      <c r="G25" s="26"/>
      <c r="H25" s="50"/>
      <c r="I25" s="50"/>
      <c r="J25" s="50"/>
      <c r="K25" s="50"/>
      <c r="L25" s="50"/>
      <c r="M25" s="50"/>
      <c r="N25" s="50"/>
      <c r="O25" s="50"/>
      <c r="P25" s="50"/>
      <c r="Q25" s="50"/>
      <c r="R25" s="50"/>
    </row>
    <row r="26" spans="7:18" s="52" customFormat="1" x14ac:dyDescent="0.25">
      <c r="G26" s="26"/>
      <c r="H26" s="50"/>
      <c r="I26" s="50"/>
      <c r="J26" s="50"/>
      <c r="K26" s="50"/>
      <c r="L26" s="50"/>
      <c r="M26" s="50"/>
      <c r="N26" s="50"/>
      <c r="O26" s="50"/>
      <c r="P26" s="50"/>
      <c r="Q26" s="50"/>
      <c r="R26" s="50"/>
    </row>
    <row r="27" spans="7:18" ht="15" customHeight="1" x14ac:dyDescent="0.2"/>
    <row r="28" spans="7:18" ht="30" customHeight="1" x14ac:dyDescent="0.2"/>
    <row r="29" spans="7:18" ht="30" customHeight="1" x14ac:dyDescent="0.2"/>
  </sheetData>
  <mergeCells count="6">
    <mergeCell ref="A11:C11"/>
    <mergeCell ref="A1:C1"/>
    <mergeCell ref="A2:A3"/>
    <mergeCell ref="B2:C2"/>
    <mergeCell ref="A9:C9"/>
    <mergeCell ref="A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130" zoomScaleNormal="130" workbookViewId="0">
      <selection sqref="A1:I1"/>
    </sheetView>
  </sheetViews>
  <sheetFormatPr defaultRowHeight="15" x14ac:dyDescent="0.25"/>
  <cols>
    <col min="1" max="1" width="44.42578125" style="25" customWidth="1"/>
    <col min="2" max="2" width="11.5703125" style="25" customWidth="1"/>
    <col min="3" max="3" width="9.140625" style="25"/>
    <col min="4" max="4" width="0" style="25" hidden="1" customWidth="1"/>
    <col min="5" max="5" width="14.42578125" style="25" customWidth="1"/>
    <col min="6" max="6" width="15.28515625" style="25" customWidth="1"/>
    <col min="7" max="7" width="7.42578125" style="25" customWidth="1"/>
    <col min="8" max="9" width="7.5703125" style="25" customWidth="1"/>
    <col min="10" max="16384" width="9.140625" style="25"/>
  </cols>
  <sheetData>
    <row r="1" spans="1:9" ht="18.75" x14ac:dyDescent="0.3">
      <c r="A1" s="190" t="s">
        <v>85</v>
      </c>
      <c r="B1" s="190"/>
      <c r="C1" s="190"/>
      <c r="D1" s="190"/>
      <c r="E1" s="190"/>
      <c r="F1" s="190"/>
      <c r="G1" s="190"/>
      <c r="H1" s="190"/>
      <c r="I1" s="190"/>
    </row>
    <row r="2" spans="1:9" ht="15.75" thickBot="1" x14ac:dyDescent="0.3">
      <c r="A2" s="191" t="s">
        <v>20</v>
      </c>
      <c r="B2" s="192"/>
      <c r="C2" s="192"/>
      <c r="D2" s="192"/>
      <c r="E2" s="192"/>
      <c r="F2" s="192"/>
      <c r="G2" s="192"/>
      <c r="H2" s="192"/>
      <c r="I2" s="193"/>
    </row>
    <row r="3" spans="1:9" ht="15.75" hidden="1" x14ac:dyDescent="0.25">
      <c r="A3" s="194"/>
      <c r="B3" s="195"/>
      <c r="C3" s="195"/>
      <c r="D3" s="195"/>
      <c r="E3" s="195"/>
      <c r="F3" s="195"/>
      <c r="G3" s="195"/>
      <c r="H3" s="195"/>
      <c r="I3" s="196"/>
    </row>
    <row r="4" spans="1:9" ht="15.75" hidden="1" x14ac:dyDescent="0.25">
      <c r="A4" s="66" t="s">
        <v>8</v>
      </c>
      <c r="B4" s="67"/>
      <c r="C4" s="19"/>
      <c r="D4" s="19"/>
      <c r="E4" s="19"/>
      <c r="F4" s="19"/>
      <c r="G4" s="19"/>
      <c r="H4" s="19"/>
      <c r="I4" s="20"/>
    </row>
    <row r="5" spans="1:9" ht="15.75" hidden="1" customHeight="1" x14ac:dyDescent="0.25">
      <c r="A5" s="68" t="s">
        <v>4</v>
      </c>
      <c r="B5" s="68">
        <v>0.05</v>
      </c>
      <c r="C5" s="19"/>
      <c r="D5" s="19"/>
      <c r="E5" s="19"/>
      <c r="F5" s="19"/>
      <c r="G5" s="19"/>
      <c r="H5" s="19"/>
      <c r="I5" s="20"/>
    </row>
    <row r="6" spans="1:9" ht="15.75" hidden="1" customHeight="1" x14ac:dyDescent="0.25">
      <c r="A6" s="68" t="s">
        <v>5</v>
      </c>
      <c r="B6" s="68">
        <v>7.1599999999999997E-2</v>
      </c>
      <c r="C6" s="19"/>
      <c r="D6" s="19"/>
      <c r="E6" s="19"/>
      <c r="F6" s="19"/>
      <c r="G6" s="19"/>
      <c r="H6" s="19"/>
      <c r="I6" s="20"/>
    </row>
    <row r="7" spans="1:9" ht="15.75" hidden="1" customHeight="1" x14ac:dyDescent="0.25">
      <c r="A7" s="68" t="s">
        <v>6</v>
      </c>
      <c r="B7" s="68">
        <v>0.12609999999999999</v>
      </c>
      <c r="C7" s="19"/>
      <c r="D7" s="19"/>
      <c r="E7" s="19"/>
      <c r="F7" s="19"/>
      <c r="G7" s="19"/>
      <c r="H7" s="19"/>
      <c r="I7" s="20"/>
    </row>
    <row r="8" spans="1:9" ht="15.75" hidden="1" customHeight="1" x14ac:dyDescent="0.25">
      <c r="A8" s="68" t="s">
        <v>0</v>
      </c>
      <c r="B8" s="68">
        <v>3.3799999999999997E-2</v>
      </c>
      <c r="C8" s="19"/>
      <c r="D8" s="19"/>
      <c r="E8" s="19"/>
      <c r="F8" s="19"/>
      <c r="G8" s="19"/>
      <c r="H8" s="19"/>
      <c r="I8" s="20"/>
    </row>
    <row r="9" spans="1:9" ht="15.75" hidden="1" customHeight="1" thickBot="1" x14ac:dyDescent="0.3">
      <c r="A9" s="69" t="s">
        <v>1</v>
      </c>
      <c r="B9" s="68">
        <v>0.05</v>
      </c>
      <c r="C9" s="19"/>
      <c r="D9" s="19"/>
      <c r="E9" s="19"/>
      <c r="F9" s="19"/>
      <c r="G9" s="19"/>
      <c r="H9" s="19"/>
      <c r="I9" s="20"/>
    </row>
    <row r="10" spans="1:9" ht="16.5" hidden="1" thickBot="1" x14ac:dyDescent="0.3">
      <c r="A10" s="70"/>
      <c r="B10" s="7"/>
      <c r="C10" s="7"/>
      <c r="D10" s="6"/>
      <c r="E10" s="6"/>
      <c r="F10" s="6"/>
      <c r="G10" s="6"/>
      <c r="H10" s="7"/>
      <c r="I10" s="10"/>
    </row>
    <row r="11" spans="1:9" ht="15.75" hidden="1" thickBot="1" x14ac:dyDescent="0.3">
      <c r="A11" s="18"/>
      <c r="B11" s="7"/>
      <c r="C11" s="7"/>
      <c r="D11" s="7"/>
      <c r="E11" s="7"/>
      <c r="F11" s="7"/>
      <c r="G11" s="7"/>
      <c r="H11" s="7"/>
      <c r="I11" s="10"/>
    </row>
    <row r="12" spans="1:9" x14ac:dyDescent="0.25">
      <c r="A12" s="197"/>
      <c r="B12" s="198"/>
      <c r="C12" s="198"/>
      <c r="D12" s="198"/>
      <c r="E12" s="198"/>
      <c r="F12" s="198"/>
      <c r="G12" s="199" t="s">
        <v>86</v>
      </c>
      <c r="H12" s="200"/>
      <c r="I12" s="200"/>
    </row>
    <row r="13" spans="1:9" ht="63" customHeight="1" x14ac:dyDescent="0.25">
      <c r="A13" s="68"/>
      <c r="B13" s="71" t="s">
        <v>87</v>
      </c>
      <c r="C13" s="71" t="s">
        <v>88</v>
      </c>
      <c r="D13" s="71" t="s">
        <v>7</v>
      </c>
      <c r="E13" s="71" t="s">
        <v>89</v>
      </c>
      <c r="F13" s="72" t="s">
        <v>90</v>
      </c>
      <c r="G13" s="73" t="s">
        <v>91</v>
      </c>
      <c r="H13" s="71" t="s">
        <v>92</v>
      </c>
      <c r="I13" s="71" t="s">
        <v>93</v>
      </c>
    </row>
    <row r="14" spans="1:9" ht="15.75" x14ac:dyDescent="0.25">
      <c r="A14" s="74" t="s">
        <v>94</v>
      </c>
      <c r="B14" s="75">
        <v>-4</v>
      </c>
      <c r="C14" s="75">
        <v>-4.8499999999999996</v>
      </c>
      <c r="D14" s="76">
        <f t="shared" ref="D14:D19" si="0">B14*$B$9</f>
        <v>-0.2</v>
      </c>
      <c r="E14" s="75">
        <f>-PV($B$8,10,D14)</f>
        <v>-1.6734271035115398</v>
      </c>
      <c r="F14" s="77">
        <f t="shared" ref="F14:F19" si="1">E14+B14+C14</f>
        <v>-10.523427103511541</v>
      </c>
      <c r="G14" s="78">
        <f>PMT($B$5,10,F14)</f>
        <v>1.362831954220229</v>
      </c>
      <c r="H14" s="79">
        <f>PMT($B$6,10,F14)</f>
        <v>1.5093998445313221</v>
      </c>
      <c r="I14" s="79">
        <f>PMT($B$7,10,F14)</f>
        <v>1.909224574914447</v>
      </c>
    </row>
    <row r="15" spans="1:9" ht="15.75" x14ac:dyDescent="0.25">
      <c r="A15" s="74" t="s">
        <v>95</v>
      </c>
      <c r="B15" s="75">
        <v>-4</v>
      </c>
      <c r="C15" s="75">
        <f>C14</f>
        <v>-4.8499999999999996</v>
      </c>
      <c r="D15" s="76">
        <f t="shared" si="0"/>
        <v>-0.2</v>
      </c>
      <c r="E15" s="75">
        <f>-PV($B$8,20,D15)</f>
        <v>-2.8735936592634541</v>
      </c>
      <c r="F15" s="77">
        <f t="shared" si="1"/>
        <v>-11.723593659263454</v>
      </c>
      <c r="G15" s="78">
        <f>PMT($B$5,20,F15)</f>
        <v>0.94073148639168347</v>
      </c>
      <c r="H15" s="79">
        <f>PMT($B$6,20,F15)</f>
        <v>1.1204233738005167</v>
      </c>
      <c r="I15" s="79">
        <f>PMT($B$7,20,F15)</f>
        <v>1.6299200008202348</v>
      </c>
    </row>
    <row r="16" spans="1:9" ht="15.75" x14ac:dyDescent="0.25">
      <c r="A16" s="80" t="s">
        <v>94</v>
      </c>
      <c r="B16" s="81">
        <v>-6</v>
      </c>
      <c r="C16" s="82">
        <f>C15</f>
        <v>-4.8499999999999996</v>
      </c>
      <c r="D16" s="83">
        <f t="shared" si="0"/>
        <v>-0.30000000000000004</v>
      </c>
      <c r="E16" s="82">
        <f>-PV($B$8,10,D16)</f>
        <v>-2.51014065526731</v>
      </c>
      <c r="F16" s="84">
        <f t="shared" si="1"/>
        <v>-13.36014065526731</v>
      </c>
      <c r="G16" s="85">
        <f>PMT($B$5,10,F16)</f>
        <v>1.7301993370391107</v>
      </c>
      <c r="H16" s="86">
        <f>PMT($B$6,10,F16)</f>
        <v>1.9162763261074895</v>
      </c>
      <c r="I16" s="86">
        <f>PMT($B$7,10,F16)</f>
        <v>2.4238785152831444</v>
      </c>
    </row>
    <row r="17" spans="1:9" ht="15.75" x14ac:dyDescent="0.25">
      <c r="A17" s="80" t="s">
        <v>95</v>
      </c>
      <c r="B17" s="81">
        <v>-6</v>
      </c>
      <c r="C17" s="82">
        <f>C16</f>
        <v>-4.8499999999999996</v>
      </c>
      <c r="D17" s="83">
        <f t="shared" si="0"/>
        <v>-0.30000000000000004</v>
      </c>
      <c r="E17" s="82">
        <f>-PV($B$8,20,D17)</f>
        <v>-4.3103904888951812</v>
      </c>
      <c r="F17" s="84">
        <f t="shared" si="1"/>
        <v>-15.16039048889518</v>
      </c>
      <c r="G17" s="85">
        <f>PMT($B$5,20,F17)</f>
        <v>1.2165089556500988</v>
      </c>
      <c r="H17" s="86">
        <f>PMT($B$6,20,F17)</f>
        <v>1.4488779083774868</v>
      </c>
      <c r="I17" s="86">
        <f>PMT($B$7,20,F17)</f>
        <v>2.1077345732270589</v>
      </c>
    </row>
    <row r="18" spans="1:9" ht="30" hidden="1" x14ac:dyDescent="0.25">
      <c r="A18" s="74" t="s">
        <v>2</v>
      </c>
      <c r="B18" s="87">
        <v>-7.5</v>
      </c>
      <c r="C18" s="75">
        <f>C17</f>
        <v>-4.8499999999999996</v>
      </c>
      <c r="D18" s="76">
        <f t="shared" si="0"/>
        <v>-0.375</v>
      </c>
      <c r="E18" s="75">
        <f>-PV($B$8,10,D18)</f>
        <v>-3.1376758190841367</v>
      </c>
      <c r="F18" s="77">
        <f t="shared" si="1"/>
        <v>-15.487675819084137</v>
      </c>
      <c r="G18" s="78">
        <f>PMT($B$5,10,F18)</f>
        <v>2.0057248741532723</v>
      </c>
      <c r="H18" s="79">
        <f>PMT($B$6,10,F18)</f>
        <v>2.2214336872896148</v>
      </c>
      <c r="I18" s="79">
        <f>PMT($B$7,10,F18)</f>
        <v>2.8098689705596667</v>
      </c>
    </row>
    <row r="19" spans="1:9" ht="30" hidden="1" x14ac:dyDescent="0.25">
      <c r="A19" s="88" t="s">
        <v>3</v>
      </c>
      <c r="B19" s="89">
        <v>-7.5</v>
      </c>
      <c r="C19" s="90">
        <f>C18</f>
        <v>-4.8499999999999996</v>
      </c>
      <c r="D19" s="91">
        <f t="shared" si="0"/>
        <v>-0.375</v>
      </c>
      <c r="E19" s="90">
        <f>-PV($B$8,20,D19)</f>
        <v>-5.3879881111189762</v>
      </c>
      <c r="F19" s="92">
        <f t="shared" si="1"/>
        <v>-17.737988111118973</v>
      </c>
      <c r="G19" s="93">
        <f>PMT($B$5,20,F19)</f>
        <v>1.4233420575939102</v>
      </c>
      <c r="H19" s="94">
        <f>PMT($B$6,20,F19)</f>
        <v>1.6952188093102145</v>
      </c>
      <c r="I19" s="94">
        <f>PMT($B$7,20,F19)</f>
        <v>2.4660955025321774</v>
      </c>
    </row>
    <row r="20" spans="1:9" ht="20.25" customHeight="1" x14ac:dyDescent="0.25">
      <c r="A20" s="201" t="s">
        <v>96</v>
      </c>
      <c r="B20" s="201"/>
      <c r="C20" s="201"/>
      <c r="D20" s="201"/>
      <c r="E20" s="201"/>
      <c r="F20" s="201"/>
      <c r="G20" s="201"/>
      <c r="H20" s="201"/>
      <c r="I20" s="201"/>
    </row>
    <row r="21" spans="1:9" ht="27.75" customHeight="1" x14ac:dyDescent="0.25">
      <c r="A21" s="186" t="s">
        <v>97</v>
      </c>
      <c r="B21" s="187"/>
      <c r="C21" s="187"/>
      <c r="D21" s="187"/>
      <c r="E21" s="187"/>
      <c r="F21" s="187"/>
      <c r="G21" s="187"/>
      <c r="H21" s="187"/>
      <c r="I21" s="188"/>
    </row>
    <row r="22" spans="1:9" ht="25.5" customHeight="1" x14ac:dyDescent="0.25">
      <c r="A22" s="189" t="s">
        <v>98</v>
      </c>
      <c r="B22" s="189"/>
      <c r="C22" s="189"/>
      <c r="D22" s="189"/>
      <c r="E22" s="189"/>
      <c r="F22" s="189"/>
      <c r="G22" s="189"/>
      <c r="H22" s="189"/>
      <c r="I22" s="189"/>
    </row>
    <row r="23" spans="1:9" ht="39" customHeight="1" x14ac:dyDescent="0.25">
      <c r="A23" s="189" t="s">
        <v>99</v>
      </c>
      <c r="B23" s="189"/>
      <c r="C23" s="189"/>
      <c r="D23" s="189"/>
      <c r="E23" s="189"/>
      <c r="F23" s="189"/>
      <c r="G23" s="189"/>
      <c r="H23" s="189"/>
      <c r="I23" s="189"/>
    </row>
    <row r="24" spans="1:9" ht="26.25" customHeight="1" x14ac:dyDescent="0.25">
      <c r="A24" s="95"/>
      <c r="B24" s="95"/>
      <c r="C24" s="95"/>
      <c r="D24" s="95"/>
      <c r="E24" s="95"/>
      <c r="F24" s="95"/>
      <c r="G24" s="95"/>
      <c r="H24" s="95"/>
      <c r="I24" s="95"/>
    </row>
    <row r="25" spans="1:9" ht="15.75" x14ac:dyDescent="0.25">
      <c r="A25" s="66" t="s">
        <v>8</v>
      </c>
      <c r="B25" s="67"/>
    </row>
    <row r="26" spans="1:9" x14ac:dyDescent="0.25">
      <c r="A26" s="68" t="s">
        <v>4</v>
      </c>
      <c r="B26" s="68">
        <v>0.05</v>
      </c>
    </row>
    <row r="27" spans="1:9" x14ac:dyDescent="0.25">
      <c r="A27" s="68" t="s">
        <v>5</v>
      </c>
      <c r="B27" s="68">
        <v>7.1599999999999997E-2</v>
      </c>
    </row>
    <row r="28" spans="1:9" x14ac:dyDescent="0.25">
      <c r="A28" s="68" t="s">
        <v>6</v>
      </c>
      <c r="B28" s="68">
        <v>0.12609999999999999</v>
      </c>
    </row>
    <row r="29" spans="1:9" x14ac:dyDescent="0.25">
      <c r="A29" s="68" t="s">
        <v>0</v>
      </c>
      <c r="B29" s="68">
        <v>3.3799999999999997E-2</v>
      </c>
    </row>
    <row r="30" spans="1:9" x14ac:dyDescent="0.25">
      <c r="A30" s="68" t="s">
        <v>1</v>
      </c>
      <c r="B30" s="68">
        <v>0.05</v>
      </c>
    </row>
  </sheetData>
  <mergeCells count="9">
    <mergeCell ref="A21:I21"/>
    <mergeCell ref="A22:I22"/>
    <mergeCell ref="A23:I23"/>
    <mergeCell ref="A1:I1"/>
    <mergeCell ref="A2:I2"/>
    <mergeCell ref="A3:I3"/>
    <mergeCell ref="A12:F12"/>
    <mergeCell ref="G12:I12"/>
    <mergeCell ref="A20:I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130" zoomScaleNormal="130" workbookViewId="0">
      <selection sqref="A1:M1"/>
    </sheetView>
  </sheetViews>
  <sheetFormatPr defaultRowHeight="15" x14ac:dyDescent="0.25"/>
  <cols>
    <col min="1" max="1" width="22.140625" style="106" customWidth="1"/>
    <col min="2" max="12" width="7.140625" style="106" customWidth="1"/>
    <col min="13" max="13" width="9" style="106" customWidth="1"/>
    <col min="14" max="16384" width="9.140625" style="96"/>
  </cols>
  <sheetData>
    <row r="1" spans="1:13" ht="32.25" customHeight="1" x14ac:dyDescent="0.25">
      <c r="A1" s="203" t="s">
        <v>100</v>
      </c>
      <c r="B1" s="204"/>
      <c r="C1" s="204"/>
      <c r="D1" s="204"/>
      <c r="E1" s="204"/>
      <c r="F1" s="204"/>
      <c r="G1" s="204"/>
      <c r="H1" s="204"/>
      <c r="I1" s="204"/>
      <c r="J1" s="204"/>
      <c r="K1" s="204"/>
      <c r="L1" s="204"/>
      <c r="M1" s="205"/>
    </row>
    <row r="2" spans="1:13" s="97" customFormat="1" ht="28.5" customHeight="1" x14ac:dyDescent="0.2">
      <c r="A2" s="206" t="s">
        <v>108</v>
      </c>
      <c r="B2" s="207"/>
      <c r="C2" s="207"/>
      <c r="D2" s="207"/>
      <c r="E2" s="207"/>
      <c r="F2" s="207"/>
      <c r="G2" s="207"/>
      <c r="H2" s="207"/>
      <c r="I2" s="207"/>
      <c r="J2" s="207"/>
      <c r="K2" s="207"/>
      <c r="L2" s="207"/>
      <c r="M2" s="208"/>
    </row>
    <row r="3" spans="1:13" s="97" customFormat="1" x14ac:dyDescent="0.2">
      <c r="A3" s="209"/>
      <c r="B3" s="210"/>
      <c r="C3" s="210"/>
      <c r="D3" s="210"/>
      <c r="E3" s="210"/>
      <c r="F3" s="210"/>
      <c r="G3" s="210"/>
      <c r="H3" s="210"/>
      <c r="I3" s="210"/>
      <c r="J3" s="210"/>
      <c r="K3" s="210"/>
      <c r="L3" s="210"/>
      <c r="M3" s="211"/>
    </row>
    <row r="4" spans="1:13" s="97" customFormat="1" ht="34.5" customHeight="1" x14ac:dyDescent="0.2">
      <c r="A4" s="99"/>
      <c r="B4" s="59" t="s">
        <v>22</v>
      </c>
      <c r="C4" s="59">
        <v>2013</v>
      </c>
      <c r="D4" s="59">
        <v>2014</v>
      </c>
      <c r="E4" s="59" t="s">
        <v>104</v>
      </c>
      <c r="F4" s="59">
        <v>2016</v>
      </c>
      <c r="G4" s="59">
        <v>2017</v>
      </c>
      <c r="H4" s="59">
        <v>2018</v>
      </c>
      <c r="I4" s="59" t="s">
        <v>105</v>
      </c>
      <c r="J4" s="59">
        <v>2020</v>
      </c>
      <c r="K4" s="59">
        <v>2021</v>
      </c>
      <c r="L4" s="59" t="s">
        <v>106</v>
      </c>
      <c r="M4" s="100" t="s">
        <v>51</v>
      </c>
    </row>
    <row r="5" spans="1:13" s="97" customFormat="1" ht="48" customHeight="1" x14ac:dyDescent="0.2">
      <c r="A5" s="101" t="s">
        <v>101</v>
      </c>
      <c r="B5" s="99"/>
      <c r="C5" s="102">
        <f>9.57*12</f>
        <v>114.84</v>
      </c>
      <c r="D5" s="102">
        <f>12.77*12</f>
        <v>153.24</v>
      </c>
      <c r="E5" s="102">
        <f>16.79*12</f>
        <v>201.48</v>
      </c>
      <c r="F5" s="102">
        <f>20.68*12</f>
        <v>248.16</v>
      </c>
      <c r="G5" s="102">
        <f>23.12*12</f>
        <v>277.44</v>
      </c>
      <c r="H5" s="102">
        <f>24.52*12</f>
        <v>294.24</v>
      </c>
      <c r="I5" s="102">
        <f>26.08*12</f>
        <v>312.95999999999998</v>
      </c>
      <c r="J5" s="102">
        <f>28.32*12</f>
        <v>339.84000000000003</v>
      </c>
      <c r="K5" s="102">
        <f>30.67*12</f>
        <v>368.04</v>
      </c>
      <c r="L5" s="102">
        <f>30.67*12</f>
        <v>368.04</v>
      </c>
      <c r="M5" s="58"/>
    </row>
    <row r="6" spans="1:13" s="97" customFormat="1" ht="48" customHeight="1" x14ac:dyDescent="0.2">
      <c r="A6" s="101" t="s">
        <v>102</v>
      </c>
      <c r="B6" s="103">
        <v>0.04</v>
      </c>
      <c r="C6" s="102">
        <f>C5*$B$6</f>
        <v>4.5936000000000003</v>
      </c>
      <c r="D6" s="102">
        <f t="shared" ref="D6:L6" si="0">D5*$B$6</f>
        <v>6.1296000000000008</v>
      </c>
      <c r="E6" s="102">
        <f t="shared" si="0"/>
        <v>8.0592000000000006</v>
      </c>
      <c r="F6" s="102">
        <f t="shared" si="0"/>
        <v>9.9263999999999992</v>
      </c>
      <c r="G6" s="102">
        <f t="shared" si="0"/>
        <v>11.0976</v>
      </c>
      <c r="H6" s="102">
        <f t="shared" si="0"/>
        <v>11.769600000000001</v>
      </c>
      <c r="I6" s="102">
        <f t="shared" si="0"/>
        <v>12.5184</v>
      </c>
      <c r="J6" s="102">
        <f t="shared" si="0"/>
        <v>13.593600000000002</v>
      </c>
      <c r="K6" s="102">
        <f t="shared" si="0"/>
        <v>14.7216</v>
      </c>
      <c r="L6" s="102">
        <f t="shared" si="0"/>
        <v>14.7216</v>
      </c>
      <c r="M6" s="104">
        <f>SUM(C6:L6)</f>
        <v>107.13120000000001</v>
      </c>
    </row>
    <row r="7" spans="1:13" s="97" customFormat="1" ht="48" customHeight="1" x14ac:dyDescent="0.2">
      <c r="A7" s="101" t="s">
        <v>21</v>
      </c>
      <c r="B7" s="103"/>
      <c r="C7" s="102">
        <f>2.67*12</f>
        <v>32.04</v>
      </c>
      <c r="D7" s="102">
        <f>2.67*12</f>
        <v>32.04</v>
      </c>
      <c r="E7" s="102">
        <f>4*12</f>
        <v>48</v>
      </c>
      <c r="F7" s="102">
        <f>4*12</f>
        <v>48</v>
      </c>
      <c r="G7" s="102">
        <f>4*12</f>
        <v>48</v>
      </c>
      <c r="H7" s="102">
        <f>4*12</f>
        <v>48</v>
      </c>
      <c r="I7" s="102">
        <f>5*12</f>
        <v>60</v>
      </c>
      <c r="J7" s="102">
        <f>5*12</f>
        <v>60</v>
      </c>
      <c r="K7" s="102">
        <f>5*12</f>
        <v>60</v>
      </c>
      <c r="L7" s="102">
        <f>5*12</f>
        <v>60</v>
      </c>
      <c r="M7" s="104"/>
    </row>
    <row r="8" spans="1:13" s="97" customFormat="1" ht="48" customHeight="1" x14ac:dyDescent="0.2">
      <c r="A8" s="101" t="s">
        <v>52</v>
      </c>
      <c r="B8" s="103">
        <v>0.55000000000000004</v>
      </c>
      <c r="C8" s="102">
        <f>C7*$B$8</f>
        <v>17.622</v>
      </c>
      <c r="D8" s="102">
        <f t="shared" ref="D8:L8" si="1">D7*$B$8</f>
        <v>17.622</v>
      </c>
      <c r="E8" s="102">
        <f t="shared" si="1"/>
        <v>26.400000000000002</v>
      </c>
      <c r="F8" s="102">
        <f t="shared" si="1"/>
        <v>26.400000000000002</v>
      </c>
      <c r="G8" s="102">
        <f t="shared" si="1"/>
        <v>26.400000000000002</v>
      </c>
      <c r="H8" s="102">
        <f t="shared" si="1"/>
        <v>26.400000000000002</v>
      </c>
      <c r="I8" s="102">
        <f t="shared" si="1"/>
        <v>33</v>
      </c>
      <c r="J8" s="102">
        <f t="shared" si="1"/>
        <v>33</v>
      </c>
      <c r="K8" s="102">
        <f t="shared" si="1"/>
        <v>33</v>
      </c>
      <c r="L8" s="102">
        <f t="shared" si="1"/>
        <v>33</v>
      </c>
      <c r="M8" s="104">
        <f>SUM(C8:L8)</f>
        <v>272.84400000000005</v>
      </c>
    </row>
    <row r="9" spans="1:13" s="97" customFormat="1" ht="48" customHeight="1" x14ac:dyDescent="0.2">
      <c r="A9" s="101" t="s">
        <v>107</v>
      </c>
      <c r="B9" s="105">
        <v>1.25</v>
      </c>
      <c r="C9" s="102">
        <f>710*$B$9</f>
        <v>887.5</v>
      </c>
      <c r="D9" s="102">
        <f>FVSCHEDULE(C9,0.0338)</f>
        <v>917.49750000000006</v>
      </c>
      <c r="E9" s="102">
        <f t="shared" ref="E9:L9" si="2">FVSCHEDULE(D9,0.0338)</f>
        <v>948.50891550000006</v>
      </c>
      <c r="F9" s="102">
        <f t="shared" si="2"/>
        <v>980.56851684390006</v>
      </c>
      <c r="G9" s="102">
        <f t="shared" si="2"/>
        <v>1013.7117327132239</v>
      </c>
      <c r="H9" s="102">
        <f t="shared" si="2"/>
        <v>1047.9751892789309</v>
      </c>
      <c r="I9" s="102">
        <f t="shared" si="2"/>
        <v>1083.3967506765589</v>
      </c>
      <c r="J9" s="102">
        <f t="shared" si="2"/>
        <v>1120.0155608494267</v>
      </c>
      <c r="K9" s="102">
        <f t="shared" si="2"/>
        <v>1157.8720868061373</v>
      </c>
      <c r="L9" s="102">
        <f t="shared" si="2"/>
        <v>1197.0081633401849</v>
      </c>
      <c r="M9" s="104">
        <f>SUM(C9:L9)</f>
        <v>10354.054416008361</v>
      </c>
    </row>
    <row r="10" spans="1:13" s="98" customFormat="1" x14ac:dyDescent="0.2">
      <c r="A10" s="101" t="s">
        <v>23</v>
      </c>
      <c r="B10" s="99"/>
      <c r="C10" s="102">
        <f>C6+C8+C9</f>
        <v>909.71559999999999</v>
      </c>
      <c r="D10" s="102">
        <f t="shared" ref="D10:M10" si="3">D6+D8+D9</f>
        <v>941.24910000000011</v>
      </c>
      <c r="E10" s="102">
        <f t="shared" si="3"/>
        <v>982.96811550000007</v>
      </c>
      <c r="F10" s="102">
        <f t="shared" si="3"/>
        <v>1016.8949168439001</v>
      </c>
      <c r="G10" s="102">
        <f t="shared" si="3"/>
        <v>1051.2093327132238</v>
      </c>
      <c r="H10" s="102">
        <f t="shared" si="3"/>
        <v>1086.1447892789308</v>
      </c>
      <c r="I10" s="102">
        <f t="shared" si="3"/>
        <v>1128.9151506765588</v>
      </c>
      <c r="J10" s="102">
        <f t="shared" si="3"/>
        <v>1166.6091608494266</v>
      </c>
      <c r="K10" s="102">
        <f t="shared" si="3"/>
        <v>1205.5936868061374</v>
      </c>
      <c r="L10" s="102">
        <f t="shared" si="3"/>
        <v>1244.7297633401849</v>
      </c>
      <c r="M10" s="104">
        <f t="shared" si="3"/>
        <v>10734.029616008362</v>
      </c>
    </row>
    <row r="11" spans="1:13" s="97" customFormat="1" ht="51" customHeight="1" x14ac:dyDescent="0.2">
      <c r="A11" s="212" t="s">
        <v>109</v>
      </c>
      <c r="B11" s="213"/>
      <c r="C11" s="213"/>
      <c r="D11" s="213"/>
      <c r="E11" s="213"/>
      <c r="F11" s="213"/>
      <c r="G11" s="213"/>
      <c r="H11" s="213"/>
      <c r="I11" s="213"/>
      <c r="J11" s="213"/>
      <c r="K11" s="213"/>
      <c r="L11" s="213"/>
      <c r="M11" s="213"/>
    </row>
    <row r="12" spans="1:13" s="97" customFormat="1" ht="17.25" customHeight="1" x14ac:dyDescent="0.2">
      <c r="A12" s="213" t="s">
        <v>103</v>
      </c>
      <c r="B12" s="213"/>
      <c r="C12" s="213"/>
      <c r="D12" s="213"/>
      <c r="E12" s="213"/>
      <c r="F12" s="213"/>
      <c r="G12" s="213"/>
      <c r="H12" s="213"/>
      <c r="I12" s="213"/>
      <c r="J12" s="213"/>
      <c r="K12" s="213"/>
      <c r="L12" s="213"/>
      <c r="M12" s="213"/>
    </row>
    <row r="13" spans="1:13" s="97" customFormat="1" ht="75.75" customHeight="1" x14ac:dyDescent="0.2">
      <c r="A13" s="202" t="s">
        <v>110</v>
      </c>
      <c r="B13" s="189"/>
      <c r="C13" s="189"/>
      <c r="D13" s="189"/>
      <c r="E13" s="189"/>
      <c r="F13" s="189"/>
      <c r="G13" s="189"/>
      <c r="H13" s="189"/>
      <c r="I13" s="189"/>
      <c r="J13" s="189"/>
      <c r="K13" s="189"/>
      <c r="L13" s="189"/>
      <c r="M13" s="189"/>
    </row>
  </sheetData>
  <mergeCells count="6">
    <mergeCell ref="A13:M13"/>
    <mergeCell ref="A1:M1"/>
    <mergeCell ref="A2:M2"/>
    <mergeCell ref="A3:M3"/>
    <mergeCell ref="A11:M11"/>
    <mergeCell ref="A1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ILF calculation</vt:lpstr>
      <vt:lpstr>Potential demand</vt:lpstr>
      <vt:lpstr>Potential supply</vt:lpstr>
      <vt:lpstr>SRC price to cover costs</vt:lpstr>
      <vt:lpstr>SW financial return</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dc:creator>
  <cp:lastModifiedBy>Evan B</cp:lastModifiedBy>
  <cp:lastPrinted>2013-03-15T19:37:24Z</cp:lastPrinted>
  <dcterms:created xsi:type="dcterms:W3CDTF">2011-02-03T04:59:06Z</dcterms:created>
  <dcterms:modified xsi:type="dcterms:W3CDTF">2014-02-12T19:05:24Z</dcterms:modified>
</cp:coreProperties>
</file>