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9DCD" lockStructure="1"/>
  <bookViews>
    <workbookView xWindow="11652" yWindow="360" windowWidth="11088" windowHeight="9900" tabRatio="315"/>
  </bookViews>
  <sheets>
    <sheet name="SW financial return" sheetId="16" r:id="rId1"/>
  </sheets>
  <calcPr calcId="145621"/>
</workbook>
</file>

<file path=xl/calcChain.xml><?xml version="1.0" encoding="utf-8"?>
<calcChain xmlns="http://schemas.openxmlformats.org/spreadsheetml/2006/main">
  <c r="C19" i="16" l="1"/>
  <c r="D19" i="16" l="1"/>
  <c r="E19" i="16" s="1"/>
  <c r="F19" i="16" s="1"/>
  <c r="G19" i="16" s="1"/>
  <c r="H19" i="16" s="1"/>
  <c r="I19" i="16" s="1"/>
  <c r="J19" i="16" s="1"/>
  <c r="K19" i="16" s="1"/>
  <c r="L19" i="16" s="1"/>
  <c r="M19" i="16" s="1"/>
  <c r="N19" i="16" s="1"/>
  <c r="O19" i="16" s="1"/>
  <c r="P19" i="16" s="1"/>
  <c r="Q19" i="16" s="1"/>
  <c r="R19" i="16" s="1"/>
  <c r="S19" i="16" s="1"/>
  <c r="T19" i="16" s="1"/>
  <c r="U19" i="16" s="1"/>
  <c r="V19" i="16" s="1"/>
  <c r="C22" i="16" l="1"/>
  <c r="G17" i="16" l="1"/>
  <c r="G16" i="16"/>
  <c r="G15" i="16"/>
  <c r="C26" i="16" l="1"/>
  <c r="D26" i="16" s="1"/>
  <c r="E26" i="16" s="1"/>
  <c r="F26" i="16" s="1"/>
  <c r="G26" i="16" s="1"/>
  <c r="H26" i="16" s="1"/>
  <c r="I26" i="16" s="1"/>
  <c r="J26" i="16" s="1"/>
  <c r="K26" i="16" s="1"/>
  <c r="L26" i="16" s="1"/>
  <c r="M26" i="16" s="1"/>
  <c r="N26" i="16" s="1"/>
  <c r="O26" i="16" s="1"/>
  <c r="P26" i="16" s="1"/>
  <c r="Q26" i="16" s="1"/>
  <c r="R26" i="16" s="1"/>
  <c r="S26" i="16" s="1"/>
  <c r="T26" i="16" s="1"/>
  <c r="U26" i="16" s="1"/>
  <c r="V26" i="16" s="1"/>
  <c r="C23" i="16"/>
  <c r="D23" i="16" s="1"/>
  <c r="E23" i="16" s="1"/>
  <c r="F23" i="16" s="1"/>
  <c r="G23" i="16" s="1"/>
  <c r="H23" i="16" s="1"/>
  <c r="I23" i="16" s="1"/>
  <c r="J23" i="16" s="1"/>
  <c r="K23" i="16" s="1"/>
  <c r="L23" i="16" s="1"/>
  <c r="M23" i="16" s="1"/>
  <c r="N23" i="16" s="1"/>
  <c r="O23" i="16" s="1"/>
  <c r="P23" i="16" s="1"/>
  <c r="Q23" i="16" s="1"/>
  <c r="R23" i="16" s="1"/>
  <c r="S23" i="16" s="1"/>
  <c r="T23" i="16" s="1"/>
  <c r="U23" i="16" s="1"/>
  <c r="V23" i="16" s="1"/>
  <c r="C24" i="16" l="1"/>
  <c r="B23" i="16" l="1"/>
  <c r="B52" i="16"/>
  <c r="O55" i="16"/>
  <c r="O29" i="16" s="1"/>
  <c r="U54" i="16"/>
  <c r="U28" i="16" s="1"/>
  <c r="S55" i="16"/>
  <c r="S29" i="16" s="1"/>
  <c r="C54" i="16"/>
  <c r="C28" i="16" s="1"/>
  <c r="B53" i="16"/>
  <c r="I55" i="16" s="1"/>
  <c r="I29" i="16" s="1"/>
  <c r="Q54" i="16"/>
  <c r="Q28" i="16" s="1"/>
  <c r="D30" i="16" l="1"/>
  <c r="O30" i="16"/>
  <c r="I30" i="16"/>
  <c r="Q30" i="16"/>
  <c r="K30" i="16"/>
  <c r="T30" i="16"/>
  <c r="M30" i="16"/>
  <c r="F30" i="16"/>
  <c r="V30" i="16"/>
  <c r="C30" i="16"/>
  <c r="P30" i="16"/>
  <c r="J30" i="16"/>
  <c r="R30" i="16"/>
  <c r="S30" i="16"/>
  <c r="L30" i="16"/>
  <c r="E30" i="16"/>
  <c r="U30" i="16"/>
  <c r="N30" i="16"/>
  <c r="G30" i="16"/>
  <c r="H30" i="16"/>
  <c r="R54" i="16"/>
  <c r="R28" i="16" s="1"/>
  <c r="F55" i="16"/>
  <c r="F29" i="16" s="1"/>
  <c r="N54" i="16"/>
  <c r="N28" i="16" s="1"/>
  <c r="H54" i="16"/>
  <c r="H28" i="16" s="1"/>
  <c r="L55" i="16"/>
  <c r="L29" i="16" s="1"/>
  <c r="G55" i="16"/>
  <c r="G29" i="16" s="1"/>
  <c r="R55" i="16"/>
  <c r="R29" i="16" s="1"/>
  <c r="V55" i="16"/>
  <c r="V29" i="16" s="1"/>
  <c r="J55" i="16"/>
  <c r="J29" i="16" s="1"/>
  <c r="T55" i="16"/>
  <c r="T29" i="16" s="1"/>
  <c r="G54" i="16"/>
  <c r="G28" i="16" s="1"/>
  <c r="S54" i="16"/>
  <c r="S28" i="16" s="1"/>
  <c r="F54" i="16"/>
  <c r="F28" i="16" s="1"/>
  <c r="L54" i="16"/>
  <c r="L28" i="16" s="1"/>
  <c r="K55" i="16"/>
  <c r="K29" i="16" s="1"/>
  <c r="P54" i="16"/>
  <c r="P28" i="16" s="1"/>
  <c r="N55" i="16"/>
  <c r="N29" i="16" s="1"/>
  <c r="O54" i="16"/>
  <c r="O28" i="16" s="1"/>
  <c r="M55" i="16"/>
  <c r="M29" i="16" s="1"/>
  <c r="T54" i="16"/>
  <c r="T28" i="16" s="1"/>
  <c r="V54" i="16"/>
  <c r="V28" i="16" s="1"/>
  <c r="U55" i="16"/>
  <c r="U29" i="16" s="1"/>
  <c r="H55" i="16"/>
  <c r="H29" i="16" s="1"/>
  <c r="K54" i="16"/>
  <c r="K28" i="16" s="1"/>
  <c r="J54" i="16"/>
  <c r="J28" i="16" s="1"/>
  <c r="E54" i="16"/>
  <c r="E28" i="16" s="1"/>
  <c r="D55" i="16"/>
  <c r="D29" i="16" s="1"/>
  <c r="E55" i="16"/>
  <c r="E29" i="16" s="1"/>
  <c r="Q55" i="16"/>
  <c r="Q29" i="16" s="1"/>
  <c r="I54" i="16"/>
  <c r="I28" i="16" s="1"/>
  <c r="C55" i="16"/>
  <c r="C29" i="16" s="1"/>
  <c r="M54" i="16"/>
  <c r="M28" i="16" s="1"/>
  <c r="D54" i="16"/>
  <c r="D28" i="16" s="1"/>
  <c r="P55" i="16"/>
  <c r="P29" i="16" s="1"/>
  <c r="B28" i="16" l="1"/>
  <c r="B29" i="16"/>
  <c r="B30" i="16"/>
  <c r="B50" i="16"/>
  <c r="H56" i="16" s="1"/>
  <c r="F57" i="16" l="1"/>
  <c r="F58" i="16" s="1"/>
  <c r="I56" i="16"/>
  <c r="F56" i="16"/>
  <c r="N57" i="16"/>
  <c r="N58" i="16" s="1"/>
  <c r="G56" i="16"/>
  <c r="O57" i="16"/>
  <c r="O58" i="16" s="1"/>
  <c r="E56" i="16"/>
  <c r="D57" i="16"/>
  <c r="D58" i="16" s="1"/>
  <c r="J57" i="16"/>
  <c r="J58" i="16" s="1"/>
  <c r="Q56" i="16"/>
  <c r="H57" i="16"/>
  <c r="H58" i="16" s="1"/>
  <c r="C57" i="16"/>
  <c r="C58" i="16" s="1"/>
  <c r="C59" i="16" s="1"/>
  <c r="G57" i="16"/>
  <c r="G58" i="16" s="1"/>
  <c r="U56" i="16"/>
  <c r="R56" i="16"/>
  <c r="C56" i="16"/>
  <c r="R57" i="16"/>
  <c r="R58" i="16" s="1"/>
  <c r="S57" i="16"/>
  <c r="S58" i="16" s="1"/>
  <c r="K57" i="16"/>
  <c r="K58" i="16" s="1"/>
  <c r="L57" i="16"/>
  <c r="L58" i="16" s="1"/>
  <c r="V57" i="16"/>
  <c r="V58" i="16" s="1"/>
  <c r="Q57" i="16"/>
  <c r="Q58" i="16" s="1"/>
  <c r="I57" i="16"/>
  <c r="I58" i="16" s="1"/>
  <c r="B51" i="16"/>
  <c r="K56" i="16"/>
  <c r="D56" i="16"/>
  <c r="V56" i="16"/>
  <c r="M57" i="16"/>
  <c r="M58" i="16" s="1"/>
  <c r="U57" i="16"/>
  <c r="U58" i="16" s="1"/>
  <c r="J56" i="16"/>
  <c r="P56" i="16"/>
  <c r="L56" i="16"/>
  <c r="M56" i="16"/>
  <c r="T57" i="16"/>
  <c r="T58" i="16" s="1"/>
  <c r="S56" i="16"/>
  <c r="O56" i="16"/>
  <c r="N56" i="16"/>
  <c r="P57" i="16"/>
  <c r="P58" i="16" s="1"/>
  <c r="E57" i="16"/>
  <c r="E58" i="16" s="1"/>
  <c r="T56" i="16"/>
  <c r="C27" i="16" l="1"/>
  <c r="C31" i="16" s="1"/>
  <c r="D59" i="16"/>
  <c r="D27" i="16" s="1"/>
  <c r="D31" i="16" s="1"/>
  <c r="E59" i="16" l="1"/>
  <c r="E27" i="16" s="1"/>
  <c r="E31" i="16" s="1"/>
  <c r="C33" i="16"/>
  <c r="C34" i="16" s="1"/>
  <c r="C60" i="16" s="1"/>
  <c r="D22" i="16" s="1"/>
  <c r="F59" i="16" l="1"/>
  <c r="F27" i="16" s="1"/>
  <c r="F31" i="16" s="1"/>
  <c r="D24" i="16"/>
  <c r="G59" i="16" l="1"/>
  <c r="D33" i="16"/>
  <c r="D34" i="16" s="1"/>
  <c r="H59" i="16" l="1"/>
  <c r="G27" i="16"/>
  <c r="G31" i="16" s="1"/>
  <c r="D60" i="16"/>
  <c r="E22" i="16" s="1"/>
  <c r="E24" i="16" s="1"/>
  <c r="E33" i="16" s="1"/>
  <c r="E34" i="16" s="1"/>
  <c r="H27" i="16" l="1"/>
  <c r="H31" i="16" s="1"/>
  <c r="I59" i="16"/>
  <c r="E60" i="16"/>
  <c r="F22" i="16" s="1"/>
  <c r="J59" i="16" l="1"/>
  <c r="I27" i="16"/>
  <c r="I31" i="16" s="1"/>
  <c r="F24" i="16"/>
  <c r="F33" i="16" s="1"/>
  <c r="F34" i="16" s="1"/>
  <c r="J27" i="16" l="1"/>
  <c r="J31" i="16" s="1"/>
  <c r="K59" i="16"/>
  <c r="F60" i="16"/>
  <c r="G22" i="16" s="1"/>
  <c r="L59" i="16" l="1"/>
  <c r="K27" i="16"/>
  <c r="K31" i="16" s="1"/>
  <c r="G24" i="16"/>
  <c r="G33" i="16" s="1"/>
  <c r="G34" i="16" s="1"/>
  <c r="L27" i="16" l="1"/>
  <c r="L31" i="16" s="1"/>
  <c r="M59" i="16"/>
  <c r="G60" i="16"/>
  <c r="H22" i="16" s="1"/>
  <c r="H24" i="16" s="1"/>
  <c r="H33" i="16" s="1"/>
  <c r="H34" i="16" s="1"/>
  <c r="M27" i="16" l="1"/>
  <c r="M31" i="16" s="1"/>
  <c r="N59" i="16"/>
  <c r="H60" i="16"/>
  <c r="I22" i="16" s="1"/>
  <c r="I24" i="16" s="1"/>
  <c r="I33" i="16" s="1"/>
  <c r="I34" i="16" s="1"/>
  <c r="N27" i="16" l="1"/>
  <c r="N31" i="16" s="1"/>
  <c r="O59" i="16"/>
  <c r="I60" i="16"/>
  <c r="J22" i="16" s="1"/>
  <c r="J24" i="16" s="1"/>
  <c r="J33" i="16" s="1"/>
  <c r="J34" i="16" s="1"/>
  <c r="O27" i="16" l="1"/>
  <c r="O31" i="16" s="1"/>
  <c r="P59" i="16"/>
  <c r="J60" i="16"/>
  <c r="K22" i="16" s="1"/>
  <c r="K24" i="16" s="1"/>
  <c r="K33" i="16" s="1"/>
  <c r="K34" i="16" s="1"/>
  <c r="P27" i="16" l="1"/>
  <c r="P31" i="16" s="1"/>
  <c r="Q59" i="16"/>
  <c r="K60" i="16"/>
  <c r="L22" i="16" s="1"/>
  <c r="L24" i="16" s="1"/>
  <c r="L33" i="16" s="1"/>
  <c r="L34" i="16" s="1"/>
  <c r="Q27" i="16" l="1"/>
  <c r="Q31" i="16" s="1"/>
  <c r="R59" i="16"/>
  <c r="L60" i="16"/>
  <c r="M22" i="16" s="1"/>
  <c r="M24" i="16" s="1"/>
  <c r="M33" i="16" s="1"/>
  <c r="M34" i="16" s="1"/>
  <c r="R27" i="16" l="1"/>
  <c r="R31" i="16" s="1"/>
  <c r="S59" i="16"/>
  <c r="M60" i="16"/>
  <c r="N22" i="16" s="1"/>
  <c r="N24" i="16" s="1"/>
  <c r="N33" i="16" s="1"/>
  <c r="N34" i="16" s="1"/>
  <c r="S27" i="16" l="1"/>
  <c r="S31" i="16" s="1"/>
  <c r="T59" i="16"/>
  <c r="N60" i="16"/>
  <c r="O22" i="16" s="1"/>
  <c r="O24" i="16" s="1"/>
  <c r="O33" i="16" s="1"/>
  <c r="O34" i="16" s="1"/>
  <c r="T27" i="16" l="1"/>
  <c r="T31" i="16" s="1"/>
  <c r="U59" i="16"/>
  <c r="O60" i="16"/>
  <c r="P22" i="16" s="1"/>
  <c r="P24" i="16" s="1"/>
  <c r="P33" i="16" s="1"/>
  <c r="P34" i="16" s="1"/>
  <c r="U27" i="16" l="1"/>
  <c r="V59" i="16"/>
  <c r="V27" i="16" s="1"/>
  <c r="V31" i="16" s="1"/>
  <c r="P60" i="16"/>
  <c r="Q22" i="16" s="1"/>
  <c r="Q24" i="16" s="1"/>
  <c r="Q33" i="16" s="1"/>
  <c r="Q34" i="16" s="1"/>
  <c r="U31" i="16" l="1"/>
  <c r="B27" i="16"/>
  <c r="B31" i="16" s="1"/>
  <c r="Q60" i="16"/>
  <c r="R22" i="16" s="1"/>
  <c r="R24" i="16" s="1"/>
  <c r="R33" i="16" s="1"/>
  <c r="R34" i="16" s="1"/>
  <c r="R60" i="16" l="1"/>
  <c r="S22" i="16" s="1"/>
  <c r="S24" i="16" l="1"/>
  <c r="S33" i="16" s="1"/>
  <c r="S34" i="16" l="1"/>
  <c r="S60" i="16" s="1"/>
  <c r="T22" i="16" s="1"/>
  <c r="T24" i="16" l="1"/>
  <c r="T33" i="16" s="1"/>
  <c r="T34" i="16" l="1"/>
  <c r="T60" i="16" s="1"/>
  <c r="U22" i="16" s="1"/>
  <c r="U24" i="16" l="1"/>
  <c r="U33" i="16" s="1"/>
  <c r="U34" i="16" l="1"/>
  <c r="U60" i="16" s="1"/>
  <c r="V22" i="16" s="1"/>
  <c r="V24" i="16" l="1"/>
  <c r="V33" i="16" s="1"/>
  <c r="B22" i="16"/>
  <c r="B24" i="16" s="1"/>
  <c r="B33" i="16" s="1"/>
  <c r="V34" i="16" l="1"/>
  <c r="V60" i="16" s="1"/>
  <c r="B35" i="16"/>
</calcChain>
</file>

<file path=xl/sharedStrings.xml><?xml version="1.0" encoding="utf-8"?>
<sst xmlns="http://schemas.openxmlformats.org/spreadsheetml/2006/main" count="61" uniqueCount="61">
  <si>
    <t>Lookup Values</t>
  </si>
  <si>
    <t>Maintenance Cost</t>
  </si>
  <si>
    <t>Maintenance Cost - Annual</t>
  </si>
  <si>
    <t>Total Over
Investment Period</t>
  </si>
  <si>
    <t>Maximum Discount on IAC</t>
  </si>
  <si>
    <t>Maximum SW Fee Discount</t>
  </si>
  <si>
    <t>Net Cash Flow</t>
  </si>
  <si>
    <t>Cumulative</t>
  </si>
  <si>
    <t>ILF</t>
  </si>
  <si>
    <t>Yes</t>
  </si>
  <si>
    <t>No</t>
  </si>
  <si>
    <t>Storm Capacity of GI (inches)</t>
  </si>
  <si>
    <t>Value of SRCs</t>
  </si>
  <si>
    <r>
      <t>SRC Price</t>
    </r>
    <r>
      <rPr>
        <i/>
        <vertAlign val="superscript"/>
        <sz val="11"/>
        <color theme="1"/>
        <rFont val="Calibri"/>
        <family val="2"/>
        <scheme val="minor"/>
      </rPr>
      <t>5</t>
    </r>
  </si>
  <si>
    <t>District Government Contribution to Capital Cost</t>
  </si>
  <si>
    <t>Remaining Obligation to DDOE</t>
  </si>
  <si>
    <t>GI Retention (gallons)</t>
  </si>
  <si>
    <t>Value of GI Retention Based on Avg Price</t>
  </si>
  <si>
    <t>Value of One-Half of GI Retention Based on Avg Price</t>
  </si>
  <si>
    <t>One-Half of GI Retention (gallons)</t>
  </si>
  <si>
    <t>Non-District Government Contribution to Capital Cost</t>
  </si>
  <si>
    <t>Value of SRC-Eligible Retention Based on Selling Price</t>
  </si>
  <si>
    <r>
      <t>Post-Project Compacted Cover in CDA 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</si>
  <si>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Pre-Project Impervious Cover in CDA 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) 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</si>
  <si>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Post-Project Impervious Cover in CDA 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) </t>
    </r>
    <r>
      <rPr>
        <vertAlign val="superscript"/>
        <sz val="11"/>
        <color theme="1"/>
        <rFont val="Calibri"/>
        <family val="2"/>
        <scheme val="minor"/>
      </rPr>
      <t>2,3</t>
    </r>
  </si>
  <si>
    <t>Residential</t>
  </si>
  <si>
    <t>Pre-Project Residential Equivalent Residential Units (ERUs)</t>
  </si>
  <si>
    <t>Post-Project Residential ERUs</t>
  </si>
  <si>
    <t>DC Water IAC</t>
  </si>
  <si>
    <t>SW Fee</t>
  </si>
  <si>
    <t>Discount on Impervious Area Charge (IAC)</t>
  </si>
  <si>
    <t>Discount on Stormwater Fee (SW Fee)</t>
  </si>
  <si>
    <t>Total</t>
  </si>
  <si>
    <t>Commercial</t>
  </si>
  <si>
    <t>Interest on Capital Cost</t>
  </si>
  <si>
    <t>Non-District Government Capital Costs - includes loan interest</t>
  </si>
  <si>
    <r>
      <t xml:space="preserve">Type of DC Water Customer </t>
    </r>
    <r>
      <rPr>
        <vertAlign val="superscript"/>
        <sz val="11"/>
        <color theme="1"/>
        <rFont val="Calibri"/>
        <family val="2"/>
        <scheme val="minor"/>
      </rPr>
      <t>2</t>
    </r>
  </si>
  <si>
    <t>Total Cost</t>
  </si>
  <si>
    <t>Total Revenue</t>
  </si>
  <si>
    <t>Multi-family</t>
  </si>
  <si>
    <r>
      <t xml:space="preserve">Investment Period - Years </t>
    </r>
    <r>
      <rPr>
        <vertAlign val="superscript"/>
        <sz val="11"/>
        <color theme="1"/>
        <rFont val="Calibri"/>
        <family val="2"/>
        <scheme val="minor"/>
      </rPr>
      <t>1</t>
    </r>
  </si>
  <si>
    <t>Cost to Develop Stormwater Management Plan (SWMP)</t>
  </si>
  <si>
    <t>Expected Selling Price of SRCs from this GI in 2015</t>
  </si>
  <si>
    <t>Does SRC price from this GI change over investment period?</t>
  </si>
  <si>
    <t>Inflation Rate of SRC Prices - Annual</t>
  </si>
  <si>
    <t>Interest Rate on Loan for Capital Cost</t>
  </si>
  <si>
    <t>Contributing Drainage Area (CDA)</t>
  </si>
  <si>
    <t>Potential Financial Return from Stormwater Retention Green Infrastructure (GI)</t>
  </si>
  <si>
    <t>Internal Rate of Return</t>
  </si>
  <si>
    <r>
      <t xml:space="preserve">Average Selling Price in all SRC Trades in 2015 </t>
    </r>
    <r>
      <rPr>
        <vertAlign val="superscript"/>
        <sz val="11"/>
        <color theme="1"/>
        <rFont val="Calibri"/>
        <family val="2"/>
        <scheme val="minor"/>
      </rPr>
      <t>6</t>
    </r>
  </si>
  <si>
    <r>
      <t xml:space="preserve">Savings from Removing Impervious Area </t>
    </r>
    <r>
      <rPr>
        <vertAlign val="superscript"/>
        <sz val="11"/>
        <rFont val="Calibri"/>
        <family val="2"/>
        <scheme val="minor"/>
      </rPr>
      <t>4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</si>
  <si>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Projects may continue to generate SRCs after the investment period, as long as they continue to meet eligibility requirements.</t>
    </r>
  </si>
  <si>
    <r>
      <rPr>
        <vertAlign val="superscript"/>
        <sz val="9"/>
        <color theme="1"/>
        <rFont val="Calibri"/>
        <family val="2"/>
        <scheme val="minor"/>
      </rPr>
      <t xml:space="preserve">3 </t>
    </r>
    <r>
      <rPr>
        <sz val="9"/>
        <color theme="1"/>
        <rFont val="Calibri"/>
        <family val="2"/>
        <scheme val="minor"/>
      </rPr>
      <t>This analysis assumes that post-project ERUs drain into the GI for which the IRR is calculated. It assumes that the GI area is the difference between the pre- and post-project ERUs. If the pre- and post-project ERUs are equal, the GI area is 1,000 ft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.</t>
    </r>
  </si>
  <si>
    <r>
      <rPr>
        <vertAlign val="superscript"/>
        <sz val="9"/>
        <color theme="1"/>
        <rFont val="Calibri"/>
        <family val="2"/>
        <scheme val="minor"/>
      </rPr>
      <t xml:space="preserve">4 </t>
    </r>
    <r>
      <rPr>
        <sz val="9"/>
        <color theme="1"/>
        <rFont val="Calibri"/>
        <family val="2"/>
        <scheme val="minor"/>
      </rPr>
      <t>Some GI (e.g., bioretention cells) replace ERUs with compacted cover and thus reduce the ERUs on a property. Other GI, such as green roofs and permeable pavement, do not replace the impervious area on a property. In those cases, pre-project ERUs equal post-project ERUs.</t>
    </r>
  </si>
  <si>
    <r>
      <rPr>
        <vertAlign val="superscript"/>
        <sz val="9"/>
        <color theme="1"/>
        <rFont val="Calibri"/>
        <family val="2"/>
        <scheme val="minor"/>
      </rPr>
      <t xml:space="preserve">5 </t>
    </r>
    <r>
      <rPr>
        <sz val="9"/>
        <color theme="1"/>
        <rFont val="Calibri"/>
        <family val="2"/>
        <scheme val="minor"/>
      </rPr>
      <t>If the user does not enter an SRC price for each year, this calculator adjusts the last-entered SRC price for inflation by the inflation rate in cell B12.</t>
    </r>
  </si>
  <si>
    <t>Directions:
1. Fill in blue cells B3:B13.
2. Fill in blue cells B15:F17 for each Contributing Drainage Area (CDA), up to five CDAs.
3. If you enter a value in cell B8, enter a price in cell B19. Then, for cells D19 forward, enter additional prices or use the automatic, inflation-adjusted values.
4. If you chose "yes" for cell B12, enter prices for cells D26 onward or use the automatic, inflation-adjusted values.</t>
  </si>
  <si>
    <r>
      <t xml:space="preserve">2017 </t>
    </r>
    <r>
      <rPr>
        <vertAlign val="superscript"/>
        <sz val="11"/>
        <color theme="1"/>
        <rFont val="Calibri"/>
        <family val="2"/>
        <scheme val="minor"/>
      </rPr>
      <t>7</t>
    </r>
  </si>
  <si>
    <r>
      <t xml:space="preserve">2020 </t>
    </r>
    <r>
      <rPr>
        <vertAlign val="superscript"/>
        <sz val="11"/>
        <color theme="1"/>
        <rFont val="Calibri"/>
        <family val="2"/>
        <scheme val="minor"/>
      </rPr>
      <t>7</t>
    </r>
  </si>
  <si>
    <r>
      <rPr>
        <vertAlign val="superscript"/>
        <sz val="9"/>
        <color theme="1"/>
        <rFont val="Calibri"/>
        <family val="2"/>
        <scheme val="minor"/>
      </rPr>
      <t xml:space="preserve">2 </t>
    </r>
    <r>
      <rPr>
        <sz val="9"/>
        <color theme="1"/>
        <rFont val="Calibri"/>
        <family val="2"/>
        <scheme val="minor"/>
      </rPr>
      <t>DC Water uses aerial imagery to determine the number of Equivalent Residential Units (ERUs) on each property in the District. One ERU equals 1,000 ft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of impervious area. This calculator uses fees projected by DC Water and DOEE as of April 2016. Residential customers are assessed ERUs according to a six-tier rate structure (see www.dcwater.com/customercare/iab.cfm).</t>
    </r>
  </si>
  <si>
    <r>
      <rPr>
        <vertAlign val="superscript"/>
        <sz val="9"/>
        <color indexed="8"/>
        <rFont val="Calibri"/>
        <family val="2"/>
        <scheme val="minor"/>
      </rPr>
      <t xml:space="preserve">7 </t>
    </r>
    <r>
      <rPr>
        <sz val="9"/>
        <color indexed="8"/>
        <rFont val="Calibri"/>
        <family val="2"/>
        <scheme val="minor"/>
      </rPr>
      <t>Both the DOEE SW Fee and DC Water IAC are subject to change. This analysis assumes an increase in the SW Fee from $2.67 per ERU per month to $4.00 per ERU per month in 2017 and an increase from $4.00 per ERU per month to $5.00 per ERU per month in 2021. This analysis assumes that the IAC will increase according to the schedule in the DC Water FY2017 to FY2025 Financial Plan at www.dcwater.com/investor_relations/budget_information.cfm.</t>
    </r>
  </si>
  <si>
    <r>
      <rPr>
        <vertAlign val="superscript"/>
        <sz val="9"/>
        <color theme="1"/>
        <rFont val="Calibri"/>
        <family val="2"/>
        <scheme val="minor"/>
      </rPr>
      <t>6</t>
    </r>
    <r>
      <rPr>
        <sz val="9"/>
        <color theme="1"/>
        <rFont val="Calibri"/>
        <family val="2"/>
        <scheme val="minor"/>
      </rPr>
      <t xml:space="preserve"> For recent sale prices, visit the SRC and Offv Registry at ddoe.dc.gov/src.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</si>
</sst>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Font="1" applyProtection="1">
      <protection locked="0"/>
    </xf>
    <xf numFmtId="0" fontId="0" fillId="0" borderId="12" xfId="0" applyFont="1" applyBorder="1" applyAlignment="1" applyProtection="1">
      <alignment horizontal="right" vertical="center" wrapText="1"/>
    </xf>
    <xf numFmtId="0" fontId="0" fillId="0" borderId="1" xfId="0" applyFont="1" applyBorder="1" applyAlignment="1" applyProtection="1">
      <alignment horizontal="right" vertical="center" wrapText="1"/>
    </xf>
    <xf numFmtId="0" fontId="0" fillId="0" borderId="3" xfId="0" applyFont="1" applyBorder="1" applyAlignment="1" applyProtection="1">
      <alignment horizontal="right" vertical="center" wrapText="1"/>
    </xf>
    <xf numFmtId="0" fontId="0" fillId="0" borderId="0" xfId="0" applyNumberFormat="1" applyFont="1" applyProtection="1"/>
    <xf numFmtId="0" fontId="0" fillId="0" borderId="5" xfId="0" applyFont="1" applyBorder="1" applyAlignment="1" applyProtection="1">
      <alignment horizontal="right" vertical="center" wrapText="1"/>
    </xf>
    <xf numFmtId="0" fontId="0" fillId="0" borderId="1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right" vertical="center" wrapText="1"/>
    </xf>
    <xf numFmtId="0" fontId="1" fillId="0" borderId="5" xfId="0" applyFont="1" applyFill="1" applyBorder="1" applyAlignment="1" applyProtection="1">
      <alignment horizontal="right" vertical="center" wrapText="1"/>
    </xf>
    <xf numFmtId="0" fontId="4" fillId="0" borderId="5" xfId="0" applyFont="1" applyFill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right" vertical="center" wrapText="1"/>
    </xf>
    <xf numFmtId="10" fontId="1" fillId="4" borderId="8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0" fillId="0" borderId="0" xfId="0" applyNumberFormat="1" applyFont="1" applyBorder="1" applyProtection="1"/>
    <xf numFmtId="0" fontId="0" fillId="0" borderId="2" xfId="0" applyNumberFormat="1" applyFont="1" applyBorder="1" applyProtection="1"/>
    <xf numFmtId="0" fontId="0" fillId="0" borderId="0" xfId="0" applyNumberFormat="1" applyFont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>
      <alignment horizontal="center"/>
    </xf>
    <xf numFmtId="3" fontId="0" fillId="2" borderId="5" xfId="0" applyNumberFormat="1" applyFont="1" applyFill="1" applyBorder="1" applyAlignment="1" applyProtection="1">
      <alignment horizontal="center"/>
    </xf>
    <xf numFmtId="0" fontId="0" fillId="0" borderId="0" xfId="0" applyNumberFormat="1" applyBorder="1" applyAlignment="1" applyProtection="1">
      <alignment vertical="center"/>
    </xf>
    <xf numFmtId="0" fontId="2" fillId="0" borderId="0" xfId="0" applyNumberFormat="1" applyFont="1" applyProtection="1"/>
    <xf numFmtId="0" fontId="2" fillId="0" borderId="0" xfId="0" applyFont="1" applyProtection="1"/>
    <xf numFmtId="0" fontId="0" fillId="0" borderId="0" xfId="0" applyFont="1" applyBorder="1" applyAlignment="1" applyProtection="1">
      <alignment horizontal="center" vertical="center"/>
    </xf>
    <xf numFmtId="0" fontId="8" fillId="0" borderId="0" xfId="0" applyFont="1" applyProtection="1"/>
    <xf numFmtId="42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Border="1" applyAlignment="1" applyProtection="1">
      <alignment horizontal="left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42" fontId="4" fillId="0" borderId="0" xfId="0" applyNumberFormat="1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6" fontId="4" fillId="0" borderId="0" xfId="0" applyNumberFormat="1" applyFont="1" applyBorder="1" applyAlignment="1" applyProtection="1">
      <alignment horizontal="left" vertical="center"/>
    </xf>
    <xf numFmtId="42" fontId="0" fillId="0" borderId="0" xfId="0" applyNumberFormat="1" applyFont="1" applyBorder="1" applyAlignment="1" applyProtection="1">
      <alignment horizontal="left" vertical="center"/>
    </xf>
    <xf numFmtId="42" fontId="10" fillId="0" borderId="0" xfId="0" applyNumberFormat="1" applyFont="1" applyBorder="1" applyAlignment="1" applyProtection="1">
      <alignment horizontal="left" vertical="center"/>
    </xf>
    <xf numFmtId="42" fontId="0" fillId="0" borderId="0" xfId="0" applyNumberFormat="1" applyFont="1" applyFill="1" applyBorder="1" applyAlignment="1" applyProtection="1">
      <alignment horizontal="left" vertical="center"/>
    </xf>
    <xf numFmtId="165" fontId="0" fillId="0" borderId="0" xfId="0" applyNumberFormat="1" applyFont="1" applyFill="1" applyBorder="1" applyAlignment="1" applyProtection="1">
      <alignment horizontal="left" vertical="center"/>
    </xf>
    <xf numFmtId="165" fontId="0" fillId="0" borderId="0" xfId="0" applyNumberFormat="1" applyFont="1" applyBorder="1" applyAlignment="1" applyProtection="1">
      <alignment horizontal="left" vertical="center"/>
    </xf>
    <xf numFmtId="42" fontId="0" fillId="0" borderId="0" xfId="0" applyNumberFormat="1" applyFont="1" applyFill="1" applyBorder="1" applyAlignment="1" applyProtection="1">
      <alignment horizontal="left" vertical="center" wrapText="1"/>
    </xf>
    <xf numFmtId="42" fontId="16" fillId="0" borderId="0" xfId="0" applyNumberFormat="1" applyFont="1" applyFill="1" applyBorder="1" applyAlignment="1" applyProtection="1">
      <alignment horizontal="left" vertical="center" wrapText="1"/>
    </xf>
    <xf numFmtId="42" fontId="3" fillId="0" borderId="5" xfId="0" applyNumberFormat="1" applyFont="1" applyFill="1" applyBorder="1" applyAlignment="1" applyProtection="1">
      <alignment horizontal="left" vertical="center" wrapText="1"/>
    </xf>
    <xf numFmtId="42" fontId="3" fillId="0" borderId="5" xfId="0" applyNumberFormat="1" applyFont="1" applyBorder="1" applyAlignment="1" applyProtection="1">
      <alignment horizontal="left" vertical="center" wrapText="1"/>
    </xf>
    <xf numFmtId="42" fontId="1" fillId="0" borderId="5" xfId="0" applyNumberFormat="1" applyFont="1" applyBorder="1" applyAlignment="1" applyProtection="1">
      <alignment horizontal="left" vertical="center" wrapText="1"/>
    </xf>
    <xf numFmtId="42" fontId="1" fillId="0" borderId="5" xfId="0" applyNumberFormat="1" applyFont="1" applyFill="1" applyBorder="1" applyAlignment="1" applyProtection="1">
      <alignment horizontal="left" vertical="center" wrapText="1"/>
    </xf>
    <xf numFmtId="42" fontId="1" fillId="4" borderId="5" xfId="0" applyNumberFormat="1" applyFont="1" applyFill="1" applyBorder="1" applyAlignment="1" applyProtection="1">
      <alignment horizontal="left"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15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9" fontId="0" fillId="3" borderId="0" xfId="0" applyNumberFormat="1" applyFont="1" applyFill="1" applyBorder="1" applyAlignment="1" applyProtection="1">
      <alignment horizontal="center" vertical="center"/>
    </xf>
    <xf numFmtId="44" fontId="4" fillId="3" borderId="0" xfId="0" applyNumberFormat="1" applyFont="1" applyFill="1" applyBorder="1" applyAlignment="1" applyProtection="1">
      <alignment horizontal="center" vertical="center" wrapText="1"/>
    </xf>
    <xf numFmtId="44" fontId="4" fillId="3" borderId="2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 applyAlignment="1" applyProtection="1">
      <alignment horizontal="right"/>
    </xf>
    <xf numFmtId="7" fontId="0" fillId="3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" xfId="0" applyFont="1" applyBorder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Protection="1"/>
    <xf numFmtId="0" fontId="0" fillId="0" borderId="2" xfId="0" applyFont="1" applyBorder="1" applyProtection="1"/>
    <xf numFmtId="2" fontId="0" fillId="0" borderId="0" xfId="0" applyNumberFormat="1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right" vertical="center" wrapText="1"/>
    </xf>
    <xf numFmtId="42" fontId="3" fillId="0" borderId="0" xfId="0" applyNumberFormat="1" applyFont="1" applyBorder="1" applyAlignment="1" applyProtection="1">
      <alignment horizontal="center" vertical="center" wrapText="1"/>
    </xf>
    <xf numFmtId="42" fontId="4" fillId="0" borderId="0" xfId="0" applyNumberFormat="1" applyFont="1" applyBorder="1" applyAlignment="1" applyProtection="1">
      <alignment horizontal="center" vertical="center"/>
    </xf>
    <xf numFmtId="42" fontId="4" fillId="0" borderId="2" xfId="0" applyNumberFormat="1" applyFont="1" applyBorder="1" applyAlignment="1" applyProtection="1">
      <alignment horizontal="center" vertical="center"/>
    </xf>
    <xf numFmtId="42" fontId="0" fillId="0" borderId="0" xfId="0" applyNumberFormat="1" applyFont="1" applyBorder="1" applyAlignment="1" applyProtection="1">
      <alignment horizontal="center"/>
    </xf>
    <xf numFmtId="42" fontId="0" fillId="0" borderId="2" xfId="0" applyNumberFormat="1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right" vertical="center"/>
    </xf>
    <xf numFmtId="42" fontId="0" fillId="0" borderId="0" xfId="0" applyNumberFormat="1" applyFont="1" applyBorder="1" applyAlignment="1" applyProtection="1">
      <alignment vertical="center"/>
    </xf>
    <xf numFmtId="42" fontId="0" fillId="0" borderId="2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42" fontId="0" fillId="0" borderId="4" xfId="0" applyNumberFormat="1" applyFont="1" applyBorder="1" applyAlignment="1" applyProtection="1">
      <alignment vertical="center"/>
    </xf>
    <xf numFmtId="42" fontId="0" fillId="0" borderId="13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5" xfId="0" applyFont="1" applyFill="1" applyBorder="1" applyAlignment="1" applyProtection="1">
      <alignment horizontal="center" vertical="center" wrapText="1"/>
      <protection locked="0"/>
    </xf>
    <xf numFmtId="165" fontId="0" fillId="3" borderId="5" xfId="0" applyNumberFormat="1" applyFont="1" applyFill="1" applyBorder="1" applyAlignment="1" applyProtection="1">
      <alignment horizontal="center" vertical="center" wrapText="1"/>
      <protection locked="0"/>
    </xf>
    <xf numFmtId="166" fontId="0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0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5" xfId="0" applyNumberFormat="1" applyFont="1" applyFill="1" applyBorder="1" applyAlignment="1" applyProtection="1">
      <alignment horizontal="center" vertical="center" wrapText="1"/>
      <protection locked="0"/>
    </xf>
    <xf numFmtId="44" fontId="0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4" fontId="17" fillId="0" borderId="0" xfId="0" applyNumberFormat="1" applyFont="1" applyBorder="1" applyAlignment="1" applyProtection="1">
      <alignment horizontal="left" vertical="center"/>
      <protection locked="0"/>
    </xf>
    <xf numFmtId="164" fontId="0" fillId="0" borderId="0" xfId="0" applyNumberFormat="1" applyFont="1" applyProtection="1"/>
    <xf numFmtId="0" fontId="9" fillId="0" borderId="3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/>
    <xf numFmtId="0" fontId="0" fillId="0" borderId="13" xfId="0" applyBorder="1" applyAlignment="1" applyProtection="1"/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7" xfId="0" applyBorder="1" applyAlignment="1" applyProtection="1"/>
    <xf numFmtId="0" fontId="0" fillId="0" borderId="8" xfId="0" applyBorder="1" applyAlignment="1" applyProtection="1"/>
    <xf numFmtId="0" fontId="20" fillId="0" borderId="6" xfId="0" applyFont="1" applyBorder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center" vertical="center" wrapText="1"/>
    </xf>
    <xf numFmtId="0" fontId="21" fillId="0" borderId="7" xfId="0" applyFont="1" applyBorder="1" applyAlignment="1" applyProtection="1"/>
    <xf numFmtId="0" fontId="21" fillId="0" borderId="8" xfId="0" applyFont="1" applyBorder="1" applyAlignment="1" applyProtection="1"/>
    <xf numFmtId="0" fontId="0" fillId="0" borderId="9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vertical="center"/>
    </xf>
    <xf numFmtId="0" fontId="1" fillId="0" borderId="9" xfId="0" applyFont="1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right" vertical="center" wrapText="1"/>
    </xf>
    <xf numFmtId="0" fontId="0" fillId="0" borderId="10" xfId="0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0" fillId="0" borderId="7" xfId="0" applyBorder="1" applyAlignment="1" applyProtection="1">
      <alignment vertical="center" wrapText="1"/>
    </xf>
    <xf numFmtId="0" fontId="16" fillId="0" borderId="6" xfId="0" applyFont="1" applyFill="1" applyBorder="1" applyAlignment="1" applyProtection="1">
      <alignment horizontal="right" vertical="center" wrapText="1"/>
    </xf>
    <xf numFmtId="0" fontId="0" fillId="0" borderId="8" xfId="0" applyBorder="1" applyAlignment="1" applyProtection="1">
      <alignment vertical="center" wrapText="1"/>
    </xf>
    <xf numFmtId="0" fontId="16" fillId="0" borderId="6" xfId="0" applyFont="1" applyBorder="1" applyAlignment="1" applyProtection="1">
      <alignment horizontal="right" vertical="center" wrapText="1"/>
    </xf>
    <xf numFmtId="0" fontId="16" fillId="0" borderId="8" xfId="0" applyFont="1" applyBorder="1" applyAlignment="1" applyProtection="1">
      <alignment vertical="center" wrapText="1"/>
    </xf>
  </cellXfs>
  <cellStyles count="20">
    <cellStyle name="Comma 2" xfId="2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 2" xfId="1"/>
    <cellStyle name="Percent 2" xfId="3"/>
  </cellStyles>
  <dxfs count="71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</border>
    </dxf>
    <dxf>
      <font>
        <color theme="0"/>
      </font>
    </dxf>
    <dxf>
      <font>
        <color auto="1"/>
      </font>
      <fill>
        <patternFill>
          <bgColor rgb="FF00CCFF"/>
        </patternFill>
      </fill>
    </dxf>
    <dxf>
      <font>
        <color auto="1"/>
      </font>
      <fill>
        <patternFill>
          <bgColor rgb="FF00CCFF"/>
        </patternFill>
      </fill>
    </dxf>
    <dxf>
      <font>
        <color auto="1"/>
      </font>
      <fill>
        <patternFill>
          <bgColor rgb="FF00CCFF"/>
        </patternFill>
      </fill>
    </dxf>
    <dxf>
      <font>
        <color auto="1"/>
      </font>
      <fill>
        <patternFill>
          <bgColor rgb="FF00CCFF"/>
        </patternFill>
      </fill>
    </dxf>
    <dxf>
      <font>
        <color auto="1"/>
      </font>
      <fill>
        <patternFill>
          <bgColor rgb="FF00CCFF"/>
        </patternFill>
      </fill>
    </dxf>
    <dxf>
      <font>
        <color auto="1"/>
      </font>
      <fill>
        <patternFill>
          <bgColor rgb="FF00CCFF"/>
        </patternFill>
      </fill>
    </dxf>
    <dxf>
      <font>
        <color auto="1"/>
      </font>
      <fill>
        <patternFill>
          <bgColor rgb="FF00CCFF"/>
        </patternFill>
      </fill>
    </dxf>
    <dxf>
      <font>
        <color auto="1"/>
      </font>
      <fill>
        <patternFill>
          <bgColor rgb="FF00CCFF"/>
        </patternFill>
      </fill>
    </dxf>
    <dxf>
      <font>
        <color auto="1"/>
      </font>
      <fill>
        <patternFill>
          <bgColor rgb="FF00CCFF"/>
        </patternFill>
      </fill>
    </dxf>
    <dxf>
      <font>
        <color auto="1"/>
      </font>
      <fill>
        <patternFill>
          <bgColor rgb="FF00CCFF"/>
        </patternFill>
      </fill>
    </dxf>
    <dxf>
      <font>
        <color auto="1"/>
      </font>
      <fill>
        <patternFill>
          <bgColor rgb="FF00CCFF"/>
        </patternFill>
      </fill>
    </dxf>
    <dxf>
      <font>
        <color auto="1"/>
      </font>
      <fill>
        <patternFill>
          <bgColor rgb="FF00CCFF"/>
        </patternFill>
      </fill>
    </dxf>
    <dxf>
      <font>
        <color auto="1"/>
      </font>
      <fill>
        <patternFill>
          <bgColor rgb="FF00CCFF"/>
        </patternFill>
      </fill>
    </dxf>
    <dxf>
      <font>
        <color auto="1"/>
      </font>
      <fill>
        <patternFill>
          <bgColor rgb="FF00CCFF"/>
        </patternFill>
      </fill>
    </dxf>
    <dxf>
      <font>
        <color auto="1"/>
      </font>
      <fill>
        <patternFill>
          <bgColor rgb="FF00CCFF"/>
        </patternFill>
      </fill>
    </dxf>
    <dxf>
      <font>
        <color auto="1"/>
      </font>
      <fill>
        <patternFill>
          <bgColor rgb="FF00CCFF"/>
        </patternFill>
      </fill>
    </dxf>
    <dxf>
      <font>
        <color auto="1"/>
      </font>
      <fill>
        <patternFill>
          <bgColor rgb="FF00CCFF"/>
        </patternFill>
      </fill>
    </dxf>
    <dxf>
      <font>
        <color auto="1"/>
      </font>
      <fill>
        <patternFill>
          <bgColor rgb="FF00CCFF"/>
        </patternFill>
      </fill>
    </dxf>
    <dxf>
      <font>
        <color auto="1"/>
      </font>
      <fill>
        <patternFill>
          <bgColor rgb="FF00CCFF"/>
        </patternFill>
      </fill>
    </dxf>
    <dxf>
      <font>
        <color theme="0"/>
      </font>
    </dxf>
    <dxf>
      <font>
        <color auto="1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 style="thin">
          <color auto="1"/>
        </left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border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33CCFF"/>
      <color rgb="FF00CCFF"/>
      <color rgb="FF3399FF"/>
      <color rgb="FF0099FF"/>
      <color rgb="FF66FFFF"/>
      <color rgb="FF00FFFF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72"/>
  <sheetViews>
    <sheetView showGridLines="0" tabSelected="1" zoomScale="90" zoomScaleNormal="90" workbookViewId="0">
      <pane ySplit="1" topLeftCell="A2" activePane="bottomLeft" state="frozen"/>
      <selection pane="bottomLeft" sqref="A1:G1"/>
    </sheetView>
  </sheetViews>
  <sheetFormatPr defaultColWidth="0" defaultRowHeight="14.4" zeroHeight="1" x14ac:dyDescent="0.3"/>
  <cols>
    <col min="1" max="1" width="53.109375" style="32" customWidth="1"/>
    <col min="2" max="12" width="19.109375" style="32" customWidth="1"/>
    <col min="13" max="22" width="19.109375" style="31" customWidth="1"/>
    <col min="23" max="23" width="3" style="31" customWidth="1"/>
    <col min="24" max="16384" width="8.88671875" style="31" hidden="1"/>
  </cols>
  <sheetData>
    <row r="1" spans="1:22" ht="28.8" customHeight="1" x14ac:dyDescent="0.45">
      <c r="A1" s="112" t="s">
        <v>47</v>
      </c>
      <c r="B1" s="113"/>
      <c r="C1" s="114"/>
      <c r="D1" s="114"/>
      <c r="E1" s="114"/>
      <c r="F1" s="114"/>
      <c r="G1" s="115"/>
      <c r="H1" s="31"/>
      <c r="I1" s="31"/>
      <c r="J1" s="31"/>
      <c r="L1" s="31"/>
    </row>
    <row r="2" spans="1:22" ht="73.2" customHeight="1" x14ac:dyDescent="0.3">
      <c r="A2" s="108" t="s">
        <v>55</v>
      </c>
      <c r="B2" s="109"/>
      <c r="C2" s="110"/>
      <c r="D2" s="110"/>
      <c r="E2" s="110"/>
      <c r="F2" s="110"/>
      <c r="G2" s="111"/>
      <c r="H2" s="5"/>
      <c r="I2" s="5"/>
      <c r="J2" s="5"/>
      <c r="K2" s="33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4.4" customHeight="1" x14ac:dyDescent="0.3">
      <c r="A3" s="2" t="s">
        <v>40</v>
      </c>
      <c r="B3" s="85"/>
      <c r="C3" s="14"/>
      <c r="D3" s="14"/>
      <c r="E3" s="14"/>
      <c r="F3" s="14"/>
      <c r="G3" s="15"/>
      <c r="H3" s="14"/>
      <c r="I3" s="14"/>
      <c r="J3" s="14"/>
      <c r="K3" s="33"/>
      <c r="L3" s="14"/>
      <c r="M3" s="14"/>
      <c r="N3" s="14"/>
      <c r="O3" s="14"/>
      <c r="P3" s="14"/>
      <c r="Q3" s="5"/>
      <c r="R3" s="5"/>
      <c r="S3" s="5"/>
      <c r="T3" s="5"/>
      <c r="U3" s="5"/>
      <c r="V3" s="5"/>
    </row>
    <row r="4" spans="1:22" ht="14.4" customHeight="1" x14ac:dyDescent="0.3">
      <c r="A4" s="2" t="s">
        <v>36</v>
      </c>
      <c r="B4" s="86"/>
      <c r="C4" s="14"/>
      <c r="D4" s="14"/>
      <c r="E4" s="14"/>
      <c r="F4" s="14"/>
      <c r="G4" s="15"/>
      <c r="H4" s="14"/>
      <c r="I4" s="14"/>
      <c r="J4" s="14"/>
      <c r="K4" s="33"/>
      <c r="L4" s="14"/>
      <c r="M4" s="14"/>
      <c r="N4" s="14"/>
      <c r="O4" s="14"/>
      <c r="P4" s="14"/>
      <c r="Q4" s="5"/>
      <c r="R4" s="5"/>
      <c r="S4" s="5"/>
      <c r="T4" s="5"/>
      <c r="U4" s="5"/>
      <c r="V4" s="5"/>
    </row>
    <row r="5" spans="1:22" ht="14.4" customHeight="1" x14ac:dyDescent="0.3">
      <c r="A5" s="2" t="s">
        <v>20</v>
      </c>
      <c r="B5" s="87"/>
      <c r="C5" s="16"/>
      <c r="D5" s="16"/>
      <c r="E5" s="16"/>
      <c r="F5" s="16"/>
      <c r="G5" s="17"/>
      <c r="H5" s="5"/>
      <c r="I5" s="5"/>
      <c r="J5" s="5"/>
      <c r="K5" s="33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4.4" customHeight="1" x14ac:dyDescent="0.3">
      <c r="A6" s="3" t="s">
        <v>41</v>
      </c>
      <c r="B6" s="87"/>
      <c r="C6" s="16"/>
      <c r="D6" s="16"/>
      <c r="E6" s="16"/>
      <c r="F6" s="16"/>
      <c r="G6" s="17"/>
      <c r="H6" s="5"/>
      <c r="I6" s="5"/>
      <c r="J6" s="5"/>
      <c r="K6" s="33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4.4" customHeight="1" x14ac:dyDescent="0.3">
      <c r="A7" s="3" t="s">
        <v>45</v>
      </c>
      <c r="B7" s="88"/>
      <c r="C7" s="16"/>
      <c r="D7" s="16"/>
      <c r="E7" s="16"/>
      <c r="F7" s="16"/>
      <c r="G7" s="17"/>
      <c r="H7" s="5"/>
      <c r="I7" s="5"/>
      <c r="J7" s="5"/>
      <c r="K7" s="33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4.4" customHeight="1" x14ac:dyDescent="0.3">
      <c r="A8" s="3" t="s">
        <v>14</v>
      </c>
      <c r="B8" s="87"/>
      <c r="C8" s="16"/>
      <c r="D8" s="16"/>
      <c r="E8" s="16"/>
      <c r="F8" s="16"/>
      <c r="G8" s="17"/>
      <c r="H8" s="5"/>
      <c r="I8" s="5"/>
      <c r="J8" s="5"/>
      <c r="K8" s="33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4.4" customHeight="1" x14ac:dyDescent="0.3">
      <c r="A9" s="3" t="s">
        <v>2</v>
      </c>
      <c r="B9" s="87"/>
      <c r="C9" s="16"/>
      <c r="D9" s="16"/>
      <c r="E9" s="16"/>
      <c r="F9" s="16"/>
      <c r="G9" s="1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4.4" customHeight="1" x14ac:dyDescent="0.3">
      <c r="A10" s="2" t="s">
        <v>11</v>
      </c>
      <c r="B10" s="86"/>
      <c r="C10" s="16"/>
      <c r="D10" s="16"/>
      <c r="E10" s="16"/>
      <c r="F10" s="16"/>
      <c r="G10" s="17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4.4" customHeight="1" x14ac:dyDescent="0.3">
      <c r="A11" s="3" t="s">
        <v>42</v>
      </c>
      <c r="B11" s="89"/>
      <c r="C11" s="16"/>
      <c r="D11" s="16"/>
      <c r="E11" s="16"/>
      <c r="F11" s="16"/>
      <c r="G11" s="1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4.4" customHeight="1" x14ac:dyDescent="0.3">
      <c r="A12" s="3" t="s">
        <v>43</v>
      </c>
      <c r="B12" s="86"/>
      <c r="C12" s="16"/>
      <c r="D12" s="16"/>
      <c r="E12" s="16"/>
      <c r="F12" s="16"/>
      <c r="G12" s="17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4.4" customHeight="1" x14ac:dyDescent="0.3">
      <c r="A13" s="3" t="s">
        <v>44</v>
      </c>
      <c r="B13" s="88"/>
      <c r="C13" s="16"/>
      <c r="D13" s="16"/>
      <c r="E13" s="16"/>
      <c r="F13" s="16"/>
      <c r="G13" s="17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4.4" customHeight="1" x14ac:dyDescent="0.3">
      <c r="A14" s="3" t="s">
        <v>46</v>
      </c>
      <c r="B14" s="18">
        <v>1</v>
      </c>
      <c r="C14" s="18">
        <v>2</v>
      </c>
      <c r="D14" s="18">
        <v>3</v>
      </c>
      <c r="E14" s="19">
        <v>4</v>
      </c>
      <c r="F14" s="19">
        <v>5</v>
      </c>
      <c r="G14" s="20" t="s">
        <v>32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4.4" customHeight="1" x14ac:dyDescent="0.3">
      <c r="A15" s="3" t="s">
        <v>23</v>
      </c>
      <c r="B15" s="90">
        <v>0</v>
      </c>
      <c r="C15" s="90">
        <v>0</v>
      </c>
      <c r="D15" s="90">
        <v>0</v>
      </c>
      <c r="E15" s="90">
        <v>0</v>
      </c>
      <c r="F15" s="90">
        <v>0</v>
      </c>
      <c r="G15" s="21">
        <f>SUM(B15:F15)</f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14.4" customHeight="1" x14ac:dyDescent="0.3">
      <c r="A16" s="3" t="s">
        <v>24</v>
      </c>
      <c r="B16" s="90">
        <v>0</v>
      </c>
      <c r="C16" s="90">
        <v>0</v>
      </c>
      <c r="D16" s="90">
        <v>0</v>
      </c>
      <c r="E16" s="90">
        <v>0</v>
      </c>
      <c r="F16" s="90">
        <v>0</v>
      </c>
      <c r="G16" s="21">
        <f>SUM(B16:F16)</f>
        <v>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4.4" customHeight="1" x14ac:dyDescent="0.3">
      <c r="A17" s="4" t="s">
        <v>22</v>
      </c>
      <c r="B17" s="90">
        <v>0</v>
      </c>
      <c r="C17" s="90">
        <v>0</v>
      </c>
      <c r="D17" s="90">
        <v>0</v>
      </c>
      <c r="E17" s="90">
        <v>0</v>
      </c>
      <c r="F17" s="90">
        <v>0</v>
      </c>
      <c r="G17" s="21">
        <f>SUM(B17:F17)</f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4.4" customHeight="1" x14ac:dyDescent="0.3">
      <c r="A18" s="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s="1" customFormat="1" ht="14.4" customHeight="1" x14ac:dyDescent="0.3">
      <c r="A19" s="6" t="s">
        <v>49</v>
      </c>
      <c r="B19" s="91"/>
      <c r="C19" s="95">
        <f>B19</f>
        <v>0</v>
      </c>
      <c r="D19" s="92">
        <f>IF(AND($C$19&gt;=0.01,$B$3&gt;=2),C$19*(1+$B$13),0)</f>
        <v>0</v>
      </c>
      <c r="E19" s="92">
        <f>IF(AND($C$19&gt;=0.01,$B$3&gt;=3),D$19*(1+$B$13),0)</f>
        <v>0</v>
      </c>
      <c r="F19" s="92">
        <f>IF(AND($C$19&gt;=0.01,$B$3&gt;=4),E$19*(1+$B$13),0)</f>
        <v>0</v>
      </c>
      <c r="G19" s="92">
        <f>IF(AND($C$19&gt;=0.01,$B$3&gt;=5),F$19*(1+$B$13),0)</f>
        <v>0</v>
      </c>
      <c r="H19" s="92">
        <f>IF(AND($C$19&gt;=0.01,$B$3&gt;=6),G$19*(1+$B$13),0)</f>
        <v>0</v>
      </c>
      <c r="I19" s="92">
        <f>IF(AND($C$19&gt;=0.01,$B$3&gt;=7),H$19*(1+$B$13),0)</f>
        <v>0</v>
      </c>
      <c r="J19" s="92">
        <f>IF(AND($C$19&gt;=0.01,$B$3&gt;=8),I$19*(1+$B$13),0)</f>
        <v>0</v>
      </c>
      <c r="K19" s="92">
        <f>IF(AND($C$19&gt;=0.01,$B$3&gt;=9),J$19*(1+$B$13),0)</f>
        <v>0</v>
      </c>
      <c r="L19" s="92">
        <f>IF(AND($C$19&gt;=0.01,$B$3&gt;=10),K$19*(1+$B$13),0)</f>
        <v>0</v>
      </c>
      <c r="M19" s="92">
        <f>IF(AND($C$19&gt;=0.01,$B$3&gt;=11),L$19*(1+$B$13),0)</f>
        <v>0</v>
      </c>
      <c r="N19" s="92">
        <f>IF(AND($C$19&gt;=0.01,$B$3&gt;=12),M$19*(1+$B$13),0)</f>
        <v>0</v>
      </c>
      <c r="O19" s="92">
        <f>IF(AND($C$19&gt;=0.01,$B$3&gt;=13),N$19*(1+$B$13),0)</f>
        <v>0</v>
      </c>
      <c r="P19" s="92">
        <f>IF(AND($C$19&gt;=0.01,$B$3&gt;=14),O$19*(1+$B$13),0)</f>
        <v>0</v>
      </c>
      <c r="Q19" s="92">
        <f>IF(AND($C$19&gt;=0.01,$B$3&gt;=15),P$19*(1+$B$13),0)</f>
        <v>0</v>
      </c>
      <c r="R19" s="92">
        <f>IF(AND($C$19&gt;=0.01,$B$3&gt;=16),Q$19*(1+$B$13),0)</f>
        <v>0</v>
      </c>
      <c r="S19" s="92">
        <f>IF(AND($C$19&gt;=0.01,$B$3&gt;=17),R$19*(1+$B$13),0)</f>
        <v>0</v>
      </c>
      <c r="T19" s="92">
        <f>IF(AND($C$19&gt;=0.01,$B$3&gt;=18),S$19*(1+$B$13),0)</f>
        <v>0</v>
      </c>
      <c r="U19" s="92">
        <f>IF(AND($C$19&gt;=0.01,$B$3&gt;=19),T$19*(1+$B$13),0)</f>
        <v>0</v>
      </c>
      <c r="V19" s="92">
        <f>IF(AND($C$19&gt;=0.01,$B$3&gt;=20),U$19*(1+$B$13),0)</f>
        <v>0</v>
      </c>
    </row>
    <row r="20" spans="1:22" s="24" customFormat="1" ht="14.4" customHeight="1" x14ac:dyDescent="0.25">
      <c r="A20" s="116"/>
      <c r="B20" s="117"/>
      <c r="C20" s="22"/>
      <c r="D20" s="22"/>
      <c r="E20" s="22"/>
      <c r="F20" s="22"/>
      <c r="G20" s="22"/>
      <c r="H20" s="22"/>
      <c r="I20" s="22"/>
      <c r="J20" s="22"/>
      <c r="K20" s="23"/>
      <c r="L20" s="22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s="24" customFormat="1" ht="27" customHeight="1" x14ac:dyDescent="0.25">
      <c r="A21" s="7"/>
      <c r="B21" s="8" t="s">
        <v>3</v>
      </c>
      <c r="C21" s="25">
        <v>2016</v>
      </c>
      <c r="D21" s="25" t="s">
        <v>56</v>
      </c>
      <c r="E21" s="25">
        <v>2018</v>
      </c>
      <c r="F21" s="25">
        <v>2019</v>
      </c>
      <c r="G21" s="25" t="s">
        <v>57</v>
      </c>
      <c r="H21" s="25">
        <v>2021</v>
      </c>
      <c r="I21" s="25">
        <v>2022</v>
      </c>
      <c r="J21" s="25">
        <v>2023</v>
      </c>
      <c r="K21" s="25">
        <v>2024</v>
      </c>
      <c r="L21" s="25">
        <v>2025</v>
      </c>
      <c r="M21" s="25">
        <v>2026</v>
      </c>
      <c r="N21" s="25">
        <v>2027</v>
      </c>
      <c r="O21" s="25">
        <v>2028</v>
      </c>
      <c r="P21" s="25">
        <v>2029</v>
      </c>
      <c r="Q21" s="25">
        <v>2030</v>
      </c>
      <c r="R21" s="25">
        <v>2031</v>
      </c>
      <c r="S21" s="25">
        <v>2032</v>
      </c>
      <c r="T21" s="25">
        <v>2033</v>
      </c>
      <c r="U21" s="25">
        <v>2034</v>
      </c>
      <c r="V21" s="25">
        <v>2035</v>
      </c>
    </row>
    <row r="22" spans="1:22" s="35" customFormat="1" ht="14.4" customHeight="1" x14ac:dyDescent="0.25">
      <c r="A22" s="9" t="s">
        <v>35</v>
      </c>
      <c r="B22" s="44">
        <f>SUM(C22:V22)</f>
        <v>0</v>
      </c>
      <c r="C22" s="34">
        <f>(B5+B6)*-1</f>
        <v>0</v>
      </c>
      <c r="D22" s="34" t="str">
        <f>IF($B$3&gt;=2,C60," ")</f>
        <v xml:space="preserve"> </v>
      </c>
      <c r="E22" s="34" t="str">
        <f>IF($B$3&gt;=3,D60," ")</f>
        <v xml:space="preserve"> </v>
      </c>
      <c r="F22" s="34" t="str">
        <f>IF($B$3&gt;=4,E60," ")</f>
        <v xml:space="preserve"> </v>
      </c>
      <c r="G22" s="34" t="str">
        <f>IF($B$3&gt;=5,F60," ")</f>
        <v xml:space="preserve"> </v>
      </c>
      <c r="H22" s="34" t="str">
        <f>IF($B$3&gt;=6,G60," ")</f>
        <v xml:space="preserve"> </v>
      </c>
      <c r="I22" s="34" t="str">
        <f>IF($B$3&gt;=7,H60," ")</f>
        <v xml:space="preserve"> </v>
      </c>
      <c r="J22" s="34" t="str">
        <f>IF($B$3&gt;=8,I60," ")</f>
        <v xml:space="preserve"> </v>
      </c>
      <c r="K22" s="34" t="str">
        <f>IF($B$3&gt;=9,J60," ")</f>
        <v xml:space="preserve"> </v>
      </c>
      <c r="L22" s="34" t="str">
        <f>IF($B$3&gt;=10,K60," ")</f>
        <v xml:space="preserve"> </v>
      </c>
      <c r="M22" s="34" t="str">
        <f>IF($B$3&gt;=11,L60," ")</f>
        <v xml:space="preserve"> </v>
      </c>
      <c r="N22" s="34" t="str">
        <f>IF($B$3&gt;=12,M60," ")</f>
        <v xml:space="preserve"> </v>
      </c>
      <c r="O22" s="34" t="str">
        <f>IF($B$3&gt;=13,N60," ")</f>
        <v xml:space="preserve"> </v>
      </c>
      <c r="P22" s="34" t="str">
        <f>IF($B$3&gt;=14,O60," ")</f>
        <v xml:space="preserve"> </v>
      </c>
      <c r="Q22" s="34" t="str">
        <f>IF($B$3&gt;=15,P60," ")</f>
        <v xml:space="preserve"> </v>
      </c>
      <c r="R22" s="34" t="str">
        <f>IF($B$3&gt;=16,Q60," ")</f>
        <v xml:space="preserve"> </v>
      </c>
      <c r="S22" s="34" t="str">
        <f>IF($B$3&gt;=17,R60," ")</f>
        <v xml:space="preserve"> </v>
      </c>
      <c r="T22" s="34" t="str">
        <f>IF($B$3&gt;=18,S60," ")</f>
        <v xml:space="preserve"> </v>
      </c>
      <c r="U22" s="34" t="str">
        <f>IF($B$3&gt;=19,T60," ")</f>
        <v xml:space="preserve"> </v>
      </c>
      <c r="V22" s="34" t="str">
        <f>IF($B$3&gt;=20,U60," ")</f>
        <v xml:space="preserve"> </v>
      </c>
    </row>
    <row r="23" spans="1:22" s="35" customFormat="1" ht="14.4" customHeight="1" x14ac:dyDescent="0.25">
      <c r="A23" s="9" t="s">
        <v>1</v>
      </c>
      <c r="B23" s="44">
        <f>SUM(C23:V23)</f>
        <v>0</v>
      </c>
      <c r="C23" s="34">
        <f>IF($B$3&gt;=1,$B$9*-1,0)</f>
        <v>0</v>
      </c>
      <c r="D23" s="34">
        <f>IF($B$3&gt;=2,(((C23*-1)*(1+$B$13))*-1),0)</f>
        <v>0</v>
      </c>
      <c r="E23" s="34">
        <f>IF($B$3&gt;=3,(((D23*-1)*(1+$B$13))*-1),0)</f>
        <v>0</v>
      </c>
      <c r="F23" s="34">
        <f>IF($B$3&gt;=4,(((E23*-1)*(1+$B$13))*-1),0)</f>
        <v>0</v>
      </c>
      <c r="G23" s="34">
        <f>IF($B$3&gt;=5,(((F23*-1)*(1+$B$13))*-1),0)</f>
        <v>0</v>
      </c>
      <c r="H23" s="34">
        <f>IF($B$3&gt;=6,(((G23*-1)*(1+$B$13))*-1),0)</f>
        <v>0</v>
      </c>
      <c r="I23" s="34">
        <f>IF($B$3&gt;=7,(((H23*-1)*(1+$B$13))*-1),0)</f>
        <v>0</v>
      </c>
      <c r="J23" s="34">
        <f>IF($B$3&gt;=8,(((I23*-1)*(1+$B$13))*-1),0)</f>
        <v>0</v>
      </c>
      <c r="K23" s="34">
        <f>IF($B$3&gt;=9,(((J23*-1)*(1+$B$13))*-1),0)</f>
        <v>0</v>
      </c>
      <c r="L23" s="34">
        <f>IF($B$3&gt;=10,(((K23*-1)*(1+$B$13))*-1),0)</f>
        <v>0</v>
      </c>
      <c r="M23" s="34">
        <f>IF($B$3&gt;=11,(((L23*-1)*(1+$B$13))*-1),0)</f>
        <v>0</v>
      </c>
      <c r="N23" s="34">
        <f>IF($B$3&gt;=12,(((M23*-1)*(1+$B$13))*-1),0)</f>
        <v>0</v>
      </c>
      <c r="O23" s="34">
        <f>IF($B$3&gt;=13,(((N23*-1)*(1+$B$13))*-1),0)</f>
        <v>0</v>
      </c>
      <c r="P23" s="34">
        <f>IF($B$3&gt;=14,(((O23*-1)*(1+$B$13))*-1),0)</f>
        <v>0</v>
      </c>
      <c r="Q23" s="34">
        <f>IF($B$3&gt;=15,(((P23*-1)*(1+$B$13))*-1),0)</f>
        <v>0</v>
      </c>
      <c r="R23" s="34">
        <f>IF($B$3&gt;=16,(((Q23*-1)*(1+$B$13))*-1),0)</f>
        <v>0</v>
      </c>
      <c r="S23" s="34">
        <f>IF($B$3&gt;=17,(((R23*-1)*(1+$B$13))*-1),0)</f>
        <v>0</v>
      </c>
      <c r="T23" s="34">
        <f>IF($B$3&gt;=18,(((S23*-1)*(1+$B$13))*-1),0)</f>
        <v>0</v>
      </c>
      <c r="U23" s="34">
        <f>IF($B$3&gt;=19,(((T23*-1)*(1+$B$13))*-1),0)</f>
        <v>0</v>
      </c>
      <c r="V23" s="34">
        <f>IF($B$3&gt;=20,(((U23*-1)*(1+$B$13))*-1),0)</f>
        <v>0</v>
      </c>
    </row>
    <row r="24" spans="1:22" s="35" customFormat="1" ht="14.4" customHeight="1" x14ac:dyDescent="0.25">
      <c r="A24" s="10" t="s">
        <v>37</v>
      </c>
      <c r="B24" s="45">
        <f>SUM(B22:B23)</f>
        <v>0</v>
      </c>
      <c r="C24" s="34">
        <f>SUM(C22:C23)</f>
        <v>0</v>
      </c>
      <c r="D24" s="34">
        <f t="shared" ref="D24:V24" si="0">SUM(D22:D23)</f>
        <v>0</v>
      </c>
      <c r="E24" s="34">
        <f t="shared" si="0"/>
        <v>0</v>
      </c>
      <c r="F24" s="34">
        <f t="shared" si="0"/>
        <v>0</v>
      </c>
      <c r="G24" s="34">
        <f t="shared" si="0"/>
        <v>0</v>
      </c>
      <c r="H24" s="34">
        <f t="shared" si="0"/>
        <v>0</v>
      </c>
      <c r="I24" s="34">
        <f t="shared" si="0"/>
        <v>0</v>
      </c>
      <c r="J24" s="34">
        <f t="shared" si="0"/>
        <v>0</v>
      </c>
      <c r="K24" s="34">
        <f t="shared" si="0"/>
        <v>0</v>
      </c>
      <c r="L24" s="34">
        <f t="shared" si="0"/>
        <v>0</v>
      </c>
      <c r="M24" s="34">
        <f t="shared" si="0"/>
        <v>0</v>
      </c>
      <c r="N24" s="34">
        <f t="shared" si="0"/>
        <v>0</v>
      </c>
      <c r="O24" s="34">
        <f t="shared" si="0"/>
        <v>0</v>
      </c>
      <c r="P24" s="34">
        <f t="shared" si="0"/>
        <v>0</v>
      </c>
      <c r="Q24" s="34">
        <f t="shared" si="0"/>
        <v>0</v>
      </c>
      <c r="R24" s="34">
        <f t="shared" si="0"/>
        <v>0</v>
      </c>
      <c r="S24" s="34">
        <f t="shared" si="0"/>
        <v>0</v>
      </c>
      <c r="T24" s="34">
        <f t="shared" si="0"/>
        <v>0</v>
      </c>
      <c r="U24" s="34">
        <f t="shared" si="0"/>
        <v>0</v>
      </c>
      <c r="V24" s="34">
        <f t="shared" si="0"/>
        <v>0</v>
      </c>
    </row>
    <row r="25" spans="1:22" s="35" customFormat="1" ht="14.4" customHeight="1" x14ac:dyDescent="0.25">
      <c r="A25" s="120"/>
      <c r="B25" s="121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 s="93" customFormat="1" ht="14.4" customHeight="1" x14ac:dyDescent="0.25">
      <c r="A26" s="124" t="s">
        <v>13</v>
      </c>
      <c r="B26" s="125"/>
      <c r="C26" s="94">
        <f>IF($B$3&gt;=1,$B$11,0)</f>
        <v>0</v>
      </c>
      <c r="D26" s="94">
        <f>IF($B$3&gt;=2,C$26*(1+$B$13),0)</f>
        <v>0</v>
      </c>
      <c r="E26" s="94">
        <f>IF($B$3&gt;=3,D$26*(1+$B$13),0)</f>
        <v>0</v>
      </c>
      <c r="F26" s="94">
        <f>IF($B$3&gt;=4,E$26*(1+$B$13),0)</f>
        <v>0</v>
      </c>
      <c r="G26" s="94">
        <f>IF($B$3&gt;=5,F$26*(1+$B$13),0)</f>
        <v>0</v>
      </c>
      <c r="H26" s="94">
        <f>IF($B$3&gt;=6,G$26*(1+$B$13),0)</f>
        <v>0</v>
      </c>
      <c r="I26" s="94">
        <f>IF($B$3&gt;=7,H$26*(1+$B$13),0)</f>
        <v>0</v>
      </c>
      <c r="J26" s="94">
        <f>IF($B$3&gt;=8,I$26*(1+$B$13),0)</f>
        <v>0</v>
      </c>
      <c r="K26" s="94">
        <f>IF($B$3&gt;=9,J$26*(1+$B$13),0)</f>
        <v>0</v>
      </c>
      <c r="L26" s="94">
        <f>IF($B$3&gt;=10,K$26*(1+$B$13),0)</f>
        <v>0</v>
      </c>
      <c r="M26" s="94">
        <f>IF($B$3&gt;=11,L$26*(1+$B$13),0)</f>
        <v>0</v>
      </c>
      <c r="N26" s="94">
        <f>IF($B$3&gt;=12,M$26*(1+$B$13),0)</f>
        <v>0</v>
      </c>
      <c r="O26" s="94">
        <f>IF($B$3&gt;=13,N$26*(1+$B$13),0)</f>
        <v>0</v>
      </c>
      <c r="P26" s="94">
        <f>IF($B$3&gt;=14,O$26*(1+$B$13),0)</f>
        <v>0</v>
      </c>
      <c r="Q26" s="94">
        <f>IF($B$3&gt;=15,P$26*(1+$B$13),0)</f>
        <v>0</v>
      </c>
      <c r="R26" s="94">
        <f>IF($B$3&gt;=16,Q$26*(1+$B$13),0)</f>
        <v>0</v>
      </c>
      <c r="S26" s="94">
        <f>IF($B$3&gt;=17,R$26*(1+$B$13),0)</f>
        <v>0</v>
      </c>
      <c r="T26" s="94">
        <f>IF($B$3&gt;=18,S$26*(1+$B$13),0)</f>
        <v>0</v>
      </c>
      <c r="U26" s="94">
        <f>IF($B$3&gt;=19,T$26*(1+$B$13),0)</f>
        <v>0</v>
      </c>
      <c r="V26" s="94">
        <f>IF($B$3&gt;=20,U$26*(1+$B$13),0)</f>
        <v>0</v>
      </c>
    </row>
    <row r="27" spans="1:22" s="35" customFormat="1" ht="14.4" customHeight="1" x14ac:dyDescent="0.25">
      <c r="A27" s="9" t="s">
        <v>12</v>
      </c>
      <c r="B27" s="46">
        <f>SUM(C27:V27)</f>
        <v>0</v>
      </c>
      <c r="C27" s="37">
        <f t="shared" ref="C27:V27" si="1">IF(C59&gt;0,$B$51*C26,C56)</f>
        <v>0</v>
      </c>
      <c r="D27" s="37">
        <f t="shared" si="1"/>
        <v>0</v>
      </c>
      <c r="E27" s="37">
        <f t="shared" si="1"/>
        <v>0</v>
      </c>
      <c r="F27" s="37">
        <f t="shared" si="1"/>
        <v>0</v>
      </c>
      <c r="G27" s="37">
        <f t="shared" si="1"/>
        <v>0</v>
      </c>
      <c r="H27" s="37">
        <f t="shared" si="1"/>
        <v>0</v>
      </c>
      <c r="I27" s="37">
        <f t="shared" si="1"/>
        <v>0</v>
      </c>
      <c r="J27" s="37">
        <f t="shared" si="1"/>
        <v>0</v>
      </c>
      <c r="K27" s="37">
        <f t="shared" si="1"/>
        <v>0</v>
      </c>
      <c r="L27" s="37">
        <f t="shared" si="1"/>
        <v>0</v>
      </c>
      <c r="M27" s="37">
        <f t="shared" si="1"/>
        <v>0</v>
      </c>
      <c r="N27" s="37">
        <f t="shared" si="1"/>
        <v>0</v>
      </c>
      <c r="O27" s="37">
        <f t="shared" si="1"/>
        <v>0</v>
      </c>
      <c r="P27" s="37">
        <f t="shared" si="1"/>
        <v>0</v>
      </c>
      <c r="Q27" s="37">
        <f t="shared" si="1"/>
        <v>0</v>
      </c>
      <c r="R27" s="37">
        <f t="shared" si="1"/>
        <v>0</v>
      </c>
      <c r="S27" s="37">
        <f t="shared" si="1"/>
        <v>0</v>
      </c>
      <c r="T27" s="37">
        <f t="shared" si="1"/>
        <v>0</v>
      </c>
      <c r="U27" s="37">
        <f t="shared" si="1"/>
        <v>0</v>
      </c>
      <c r="V27" s="37">
        <f t="shared" si="1"/>
        <v>0</v>
      </c>
    </row>
    <row r="28" spans="1:22" s="35" customFormat="1" ht="14.4" customHeight="1" x14ac:dyDescent="0.25">
      <c r="A28" s="9" t="s">
        <v>30</v>
      </c>
      <c r="B28" s="46">
        <f>SUM(C28:V28)</f>
        <v>0</v>
      </c>
      <c r="C28" s="34">
        <f>IF(AND($B$3&gt;=1,$B$10&lt;=1.2),(C54*-1*$B$46/1.2*$B$10),(C54*-1*$B$46/1.2*1.2))</f>
        <v>0</v>
      </c>
      <c r="D28" s="34">
        <f>IF(AND($B$3&gt;=2,$B$10&lt;=1.2),(D54*-1*$B$46/1.2*$B$10),(D54*-1*$B$46/1.2*1.2))</f>
        <v>0</v>
      </c>
      <c r="E28" s="34">
        <f>IF(AND($B$3&gt;=3,$B$10&lt;=1.2),(E54*-1*$B$46/1.2*$B$10),(E54*-1*$B$46/1.2*1.2))</f>
        <v>0</v>
      </c>
      <c r="F28" s="34">
        <f>IF(AND($B$3&gt;=4,$B$10&lt;=1.2),(F54*-1*$B$46/1.2*$B$10),(F54*-1*$B$46/1.2*1.2))</f>
        <v>0</v>
      </c>
      <c r="G28" s="34">
        <f>IF(AND($B$3&gt;=5,$B$10&lt;=1.2),(G54*-1*$B$46/1.2*$B$10),(G54*-1*$B$46/1.2*1.2))</f>
        <v>0</v>
      </c>
      <c r="H28" s="34">
        <f>IF(AND($B$3&gt;=6,$B$10&lt;=1.2),(H54*-1*$B$46/1.2*$B$10),(H54*-1*$B$46/1.2*1.2))</f>
        <v>0</v>
      </c>
      <c r="I28" s="34">
        <f>IF(AND($B$3&gt;=7,$B$10&lt;=1.2),(I54*-1*$B$46/1.2*$B$10),(I54*-1*$B$46/1.2*1.2))</f>
        <v>0</v>
      </c>
      <c r="J28" s="34">
        <f>IF(AND($B$3&gt;=8,$B$10&lt;=1.2),(J54*-1*$B$46/1.2*$B$10),(J54*-1*$B$46/1.2*1.2))</f>
        <v>0</v>
      </c>
      <c r="K28" s="34">
        <f>IF(AND($B$3&gt;=9,$B$10&lt;=1.2),(K54*-1*$B$46/1.2*$B$10),(K54*-1*$B$46/1.2*1.2))</f>
        <v>0</v>
      </c>
      <c r="L28" s="34">
        <f>IF(AND($B$3&gt;=10,$B$10&lt;=1.2),(L54*-1*$B$46/1.2*$B$10),(L54*-1*$B$46/1.2*1.2))</f>
        <v>0</v>
      </c>
      <c r="M28" s="34">
        <f>IF(AND($B$3&gt;=11,$B$10&lt;=1.2),(M54*-1*$B$46/1.2*$B$10),(M54*-1*$B$46/1.2*1.2))</f>
        <v>0</v>
      </c>
      <c r="N28" s="34">
        <f>IF(AND($B$3&gt;=12,$B$10&lt;=1.2),(N54*-1*$B$46/1.2*$B$10),(N54*-1*$B$46/1.2*1.2))</f>
        <v>0</v>
      </c>
      <c r="O28" s="34">
        <f>IF(AND($B$3&gt;=13,$B$10&lt;=1.2),(O54*-1*$B$46/1.2*$B$10),(O54*-1*$B$46/1.2*1.2))</f>
        <v>0</v>
      </c>
      <c r="P28" s="34">
        <f>IF(AND($B$3&gt;=14,$B$10&lt;=1.2),(P54*-1*$B$46/1.2*$B$10),(P54*-1*$B$46/1.2*1.2))</f>
        <v>0</v>
      </c>
      <c r="Q28" s="34">
        <f>IF(AND($B$3&gt;=15,$B$10&lt;=1.2),(Q54*-1*$B$46/1.2*$B$10),(Q54*-1*$B$46/1.2*1.2))</f>
        <v>0</v>
      </c>
      <c r="R28" s="34">
        <f>IF(AND($B$3&gt;=16,$B$10&lt;=1.2),(R54*-1*$B$46/1.2*$B$10),(R54*-1*$B$46/1.2*1.2))</f>
        <v>0</v>
      </c>
      <c r="S28" s="34">
        <f>IF(AND($B$3&gt;=17,$B$10&lt;=1.2),(S54*-1*$B$46/1.2*$B$10),(S54*-1*$B$46/1.2*1.2))</f>
        <v>0</v>
      </c>
      <c r="T28" s="34">
        <f>IF(AND($B$3&gt;=18,$B$10&lt;=1.2),(T54*-1*$B$46/1.2*$B$10),(T54*-1*$B$46/1.2*1.2))</f>
        <v>0</v>
      </c>
      <c r="U28" s="34">
        <f>IF(AND($B$3&gt;=19,$B$10&lt;=1.2),(U54*-1*$B$46/1.2*$B$10),(U54*-1*$B$46/1.2*1.2))</f>
        <v>0</v>
      </c>
      <c r="V28" s="34">
        <f>IF(AND($B$3&gt;=20,$B$10&lt;=1.2),(V54*-1*$B$46/1.2*$B$10),(V54*-1*$B$46/1.2*1.2))</f>
        <v>0</v>
      </c>
    </row>
    <row r="29" spans="1:22" s="35" customFormat="1" ht="14.4" customHeight="1" x14ac:dyDescent="0.25">
      <c r="A29" s="9" t="s">
        <v>31</v>
      </c>
      <c r="B29" s="46">
        <f>SUM(C29:V29)</f>
        <v>0</v>
      </c>
      <c r="C29" s="34">
        <f>IF(AND($B$3&gt;=1,$B$10&lt;=1.2),(C55*-1*$B$47/1.2*$B$10),(C55*-1*$B$47/1.2*1.2))</f>
        <v>0</v>
      </c>
      <c r="D29" s="34">
        <f>IF(AND($B$3&gt;=2,$B$10&lt;=1.2),(D55*-1*$B$47/1.2*$B$10),(D55*-1*$B$47/1.2*1.2))</f>
        <v>0</v>
      </c>
      <c r="E29" s="34">
        <f>IF(AND($B$3&gt;=3,$B$10&lt;=1.2),(E55*-1*$B$47/1.2*$B$10),(E55*-1*$B$47/1.2*1.2))</f>
        <v>0</v>
      </c>
      <c r="F29" s="34">
        <f>IF(AND($B$3&gt;=4,$B$10&lt;=1.2),(F55*-1*$B$47/1.2*$B$10),(F55*-1*$B$47/1.2*1.2))</f>
        <v>0</v>
      </c>
      <c r="G29" s="34">
        <f>IF(AND($B$3&gt;=5,$B$10&lt;=1.2),(G55*-1*$B$47/1.2*$B$10),(G55*-1*$B$47/1.2*1.2))</f>
        <v>0</v>
      </c>
      <c r="H29" s="34">
        <f>IF(AND($B$3&gt;=6,$B$10&lt;=1.2),(H55*-1*$B$47/1.2*$B$10),(H55*-1*$B$47/1.2*1.2))</f>
        <v>0</v>
      </c>
      <c r="I29" s="34">
        <f>IF(AND($B$3&gt;=7,$B$10&lt;=1.2),(I55*-1*$B$47/1.2*$B$10),(I55*-1*$B$47/1.2*1.2))</f>
        <v>0</v>
      </c>
      <c r="J29" s="34">
        <f>IF(AND($B$3&gt;=8,$B$10&lt;=1.2),(J55*-1*$B$47/1.2*$B$10),(J55*-1*$B$47/1.2*1.2))</f>
        <v>0</v>
      </c>
      <c r="K29" s="34">
        <f>IF(AND($B$3&gt;=9,$B$10&lt;=1.2),(K55*-1*$B$47/1.2*$B$10),(K55*-1*$B$47/1.2*1.2))</f>
        <v>0</v>
      </c>
      <c r="L29" s="34">
        <f>IF(AND($B$3&gt;=10,$B$10&lt;=1.2),(L55*-1*$B$47/1.2*$B$10),(L55*-1*$B$47/1.2*1.2))</f>
        <v>0</v>
      </c>
      <c r="M29" s="34">
        <f>IF(AND($B$3&gt;=11,$B$10&lt;=1.2),(M55*-1*$B$47/1.2*$B$10),(M55*-1*$B$47/1.2*1.2))</f>
        <v>0</v>
      </c>
      <c r="N29" s="34">
        <f>IF(AND($B$3&gt;=12,$B$10&lt;=1.2),(N55*-1*$B$47/1.2*$B$10),(N55*-1*$B$47/1.2*1.2))</f>
        <v>0</v>
      </c>
      <c r="O29" s="34">
        <f>IF(AND($B$3&gt;=13,$B$10&lt;=1.2),(O55*-1*$B$47/1.2*$B$10),(O55*-1*$B$47/1.2*1.2))</f>
        <v>0</v>
      </c>
      <c r="P29" s="34">
        <f>IF(AND($B$3&gt;=14,$B$10&lt;=1.2),(P55*-1*$B$47/1.2*$B$10),(P55*-1*$B$47/1.2*1.2))</f>
        <v>0</v>
      </c>
      <c r="Q29" s="34">
        <f>IF(AND($B$3&gt;=15,$B$10&lt;=1.2),(Q55*-1*$B$47/1.2*$B$10),(Q55*-1*$B$47/1.2*1.2))</f>
        <v>0</v>
      </c>
      <c r="R29" s="34">
        <f>IF(AND($B$3&gt;=16,$B$10&lt;=1.2),(R55*-1*$B$47/1.2*$B$10),(R55*-1*$B$47/1.2*1.2))</f>
        <v>0</v>
      </c>
      <c r="S29" s="34">
        <f>IF(AND($B$3&gt;=17,$B$10&lt;=1.2),(S55*-1*$B$47/1.2*$B$10),(S55*-1*$B$47/1.2*1.2))</f>
        <v>0</v>
      </c>
      <c r="T29" s="34">
        <f>IF(AND($B$3&gt;=18,$B$10&lt;=1.2),(T55*-1*$B$47/1.2*$B$10),(T55*-1*$B$47/1.2*1.2))</f>
        <v>0</v>
      </c>
      <c r="U29" s="34">
        <f>IF(AND($B$3&gt;=19,$B$10&lt;=1.2),(U55*-1*$B$47/1.2*$B$10),(U55*-1*$B$47/1.2*1.2))</f>
        <v>0</v>
      </c>
      <c r="V29" s="34">
        <f>IF(AND($B$3&gt;=20,$B$10&lt;=1.2),(V55*-1*$B$47/1.2*$B$10),(V55*-1*$B$47/1.2*1.2))</f>
        <v>0</v>
      </c>
    </row>
    <row r="30" spans="1:22" s="35" customFormat="1" ht="14.4" customHeight="1" x14ac:dyDescent="0.25">
      <c r="A30" s="11" t="s">
        <v>50</v>
      </c>
      <c r="B30" s="44">
        <f>SUM(C30:V30)</f>
        <v>0</v>
      </c>
      <c r="C30" s="38">
        <f>IF($B$3&gt;=1,IF($B$4="Residential",($B$52-$B$53)*(C46*12+C47*12),(($G$15-$G$16)/1000)*(C46*12+C47*12)),0)</f>
        <v>0</v>
      </c>
      <c r="D30" s="38">
        <f t="shared" ref="D30:V30" si="2">IF($B$3&gt;=1,IF($B$4="Residential",($B$52-$B$53)*(D46*12+D47*12),(($G$15-$G$16)/1000)*(D46*12+D47*12)),0)</f>
        <v>0</v>
      </c>
      <c r="E30" s="38">
        <f t="shared" si="2"/>
        <v>0</v>
      </c>
      <c r="F30" s="38">
        <f t="shared" si="2"/>
        <v>0</v>
      </c>
      <c r="G30" s="38">
        <f t="shared" si="2"/>
        <v>0</v>
      </c>
      <c r="H30" s="38">
        <f t="shared" si="2"/>
        <v>0</v>
      </c>
      <c r="I30" s="38">
        <f t="shared" si="2"/>
        <v>0</v>
      </c>
      <c r="J30" s="38">
        <f t="shared" si="2"/>
        <v>0</v>
      </c>
      <c r="K30" s="38">
        <f t="shared" si="2"/>
        <v>0</v>
      </c>
      <c r="L30" s="38">
        <f t="shared" si="2"/>
        <v>0</v>
      </c>
      <c r="M30" s="38">
        <f t="shared" si="2"/>
        <v>0</v>
      </c>
      <c r="N30" s="38">
        <f t="shared" si="2"/>
        <v>0</v>
      </c>
      <c r="O30" s="38">
        <f t="shared" si="2"/>
        <v>0</v>
      </c>
      <c r="P30" s="38">
        <f t="shared" si="2"/>
        <v>0</v>
      </c>
      <c r="Q30" s="38">
        <f t="shared" si="2"/>
        <v>0</v>
      </c>
      <c r="R30" s="38">
        <f t="shared" si="2"/>
        <v>0</v>
      </c>
      <c r="S30" s="38">
        <f t="shared" si="2"/>
        <v>0</v>
      </c>
      <c r="T30" s="38">
        <f t="shared" si="2"/>
        <v>0</v>
      </c>
      <c r="U30" s="38">
        <f t="shared" si="2"/>
        <v>0</v>
      </c>
      <c r="V30" s="38">
        <f t="shared" si="2"/>
        <v>0</v>
      </c>
    </row>
    <row r="31" spans="1:22" s="30" customFormat="1" x14ac:dyDescent="0.25">
      <c r="A31" s="12" t="s">
        <v>38</v>
      </c>
      <c r="B31" s="47">
        <f t="shared" ref="B31:V31" si="3">SUM(B27:B30)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</row>
    <row r="32" spans="1:22" s="30" customFormat="1" ht="14.4" customHeight="1" x14ac:dyDescent="0.25">
      <c r="A32" s="122"/>
      <c r="B32" s="123"/>
      <c r="C32" s="40"/>
      <c r="D32" s="40"/>
      <c r="E32" s="40"/>
      <c r="F32" s="40"/>
      <c r="G32" s="40"/>
      <c r="H32" s="4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</row>
    <row r="33" spans="1:22" s="30" customFormat="1" x14ac:dyDescent="0.25">
      <c r="A33" s="12" t="s">
        <v>6</v>
      </c>
      <c r="B33" s="48">
        <f>B31+B24</f>
        <v>0</v>
      </c>
      <c r="C33" s="42">
        <f>IF($B$3&gt;=1,C31+C24,0)</f>
        <v>0</v>
      </c>
      <c r="D33" s="42">
        <f>IF($B$3&gt;=2,D31+D24,0)</f>
        <v>0</v>
      </c>
      <c r="E33" s="42">
        <f>IF($B$3&gt;=3,E31+E24,0)</f>
        <v>0</v>
      </c>
      <c r="F33" s="42">
        <f>IF($B$3&gt;=4,F31+F24,0)</f>
        <v>0</v>
      </c>
      <c r="G33" s="42">
        <f>IF($B$3&gt;=5,G31+G24,0)</f>
        <v>0</v>
      </c>
      <c r="H33" s="42">
        <f>IF($B$3&gt;=6,H31+H24,0)</f>
        <v>0</v>
      </c>
      <c r="I33" s="42">
        <f>IF($B$3&gt;=7,I31+I24,0)</f>
        <v>0</v>
      </c>
      <c r="J33" s="42">
        <f>IF($B$3&gt;=8,J31+J24,0)</f>
        <v>0</v>
      </c>
      <c r="K33" s="42">
        <f>IF($B$3&gt;=9,K31+K24,0)</f>
        <v>0</v>
      </c>
      <c r="L33" s="42">
        <f>IF($B$3&gt;=10,L31+L24,0)</f>
        <v>0</v>
      </c>
      <c r="M33" s="42">
        <f>IF($B$3&gt;=11,M31+M24,0)</f>
        <v>0</v>
      </c>
      <c r="N33" s="42">
        <f>IF($B$3&gt;=12,N31+N24,0)</f>
        <v>0</v>
      </c>
      <c r="O33" s="42">
        <f>IF($B$3&gt;=13,O31+O24,0)</f>
        <v>0</v>
      </c>
      <c r="P33" s="42">
        <f>IF($B$3&gt;=14,P31+P24,0)</f>
        <v>0</v>
      </c>
      <c r="Q33" s="42">
        <f>IF($B$3&gt;=15,Q31+Q24,0)</f>
        <v>0</v>
      </c>
      <c r="R33" s="42">
        <f>IF($B$3&gt;=16,R31+R24,0)</f>
        <v>0</v>
      </c>
      <c r="S33" s="42">
        <f>IF($B$3&gt;=17,S31+S24,0)</f>
        <v>0</v>
      </c>
      <c r="T33" s="42">
        <f>IF($B$3&gt;=18,T31+T24,0)</f>
        <v>0</v>
      </c>
      <c r="U33" s="42">
        <f>IF($B$3&gt;=19,U31+U24,0)</f>
        <v>0</v>
      </c>
      <c r="V33" s="42">
        <f>IF($B$3&gt;=20,V31+V24,0)</f>
        <v>0</v>
      </c>
    </row>
    <row r="34" spans="1:22" s="30" customFormat="1" x14ac:dyDescent="0.25">
      <c r="A34" s="126" t="s">
        <v>7</v>
      </c>
      <c r="B34" s="127"/>
      <c r="C34" s="43">
        <f>IF($B$3&gt;=1,C33,0)</f>
        <v>0</v>
      </c>
      <c r="D34" s="43">
        <f>IF($B$3&gt;=2,D33+C34,0)</f>
        <v>0</v>
      </c>
      <c r="E34" s="43">
        <f>IF($B$3&gt;=3,E33+D34,0)</f>
        <v>0</v>
      </c>
      <c r="F34" s="43">
        <f>IF($B$3&gt;=4,F33+E34,0)</f>
        <v>0</v>
      </c>
      <c r="G34" s="43">
        <f>IF($B$3&gt;=5,G33+F34,0)</f>
        <v>0</v>
      </c>
      <c r="H34" s="43">
        <f>IF($B$3&gt;=6,H33+G34,0)</f>
        <v>0</v>
      </c>
      <c r="I34" s="43">
        <f>IF($B$3&gt;=7,I33+H34,0)</f>
        <v>0</v>
      </c>
      <c r="J34" s="43">
        <f>IF($B$3&gt;=8,J33+I34,0)</f>
        <v>0</v>
      </c>
      <c r="K34" s="43">
        <f>IF($B$3&gt;=9,K33+J34,0)</f>
        <v>0</v>
      </c>
      <c r="L34" s="43">
        <f>IF($B$3&gt;=10,L33+K34,0)</f>
        <v>0</v>
      </c>
      <c r="M34" s="43">
        <f>IF($B$3&gt;=11,M33+L34,0)</f>
        <v>0</v>
      </c>
      <c r="N34" s="43">
        <f>IF($B$3&gt;=12,N33+M34,0)</f>
        <v>0</v>
      </c>
      <c r="O34" s="43">
        <f>IF($B$3&gt;=13,O33+N34,0)</f>
        <v>0</v>
      </c>
      <c r="P34" s="43">
        <f>IF($B$3&gt;=14,P33+O34,0)</f>
        <v>0</v>
      </c>
      <c r="Q34" s="43">
        <f>IF($B$3&gt;=15,Q33+P34,0)</f>
        <v>0</v>
      </c>
      <c r="R34" s="43">
        <f>IF($B$3&gt;=16,R33+Q34,0)</f>
        <v>0</v>
      </c>
      <c r="S34" s="43">
        <f>IF($B$3&gt;=17,S33+R34,0)</f>
        <v>0</v>
      </c>
      <c r="T34" s="43">
        <f>IF($B$3&gt;=18,T33+S34,0)</f>
        <v>0</v>
      </c>
      <c r="U34" s="43">
        <f>IF($B$3&gt;=19,U33+T34,0)</f>
        <v>0</v>
      </c>
      <c r="V34" s="43">
        <f>IF($B$3&gt;=20,V33+U34,0)</f>
        <v>0</v>
      </c>
    </row>
    <row r="35" spans="1:22" s="26" customFormat="1" x14ac:dyDescent="0.25">
      <c r="A35" s="10" t="s">
        <v>48</v>
      </c>
      <c r="B35" s="13">
        <f>IF(C33=0,0,IRR(C33:V33))</f>
        <v>0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s="26" customFormat="1" ht="14.4" customHeight="1" x14ac:dyDescent="0.25">
      <c r="A36" s="118"/>
      <c r="B36" s="119"/>
      <c r="C36" s="28"/>
      <c r="D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s="30" customFormat="1" ht="15" customHeight="1" x14ac:dyDescent="0.3">
      <c r="A37" s="99" t="s">
        <v>51</v>
      </c>
      <c r="B37" s="100"/>
      <c r="C37" s="101"/>
      <c r="D37" s="101"/>
      <c r="E37" s="101"/>
      <c r="F37" s="101"/>
      <c r="G37" s="102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s="26" customFormat="1" ht="28.2" customHeight="1" x14ac:dyDescent="0.3">
      <c r="A38" s="103" t="s">
        <v>58</v>
      </c>
      <c r="B38" s="104"/>
      <c r="C38" s="105"/>
      <c r="D38" s="105"/>
      <c r="E38" s="105"/>
      <c r="F38" s="105"/>
      <c r="G38" s="106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s="26" customFormat="1" ht="28.8" customHeight="1" x14ac:dyDescent="0.3">
      <c r="A39" s="103" t="s">
        <v>52</v>
      </c>
      <c r="B39" s="107"/>
      <c r="C39" s="105"/>
      <c r="D39" s="105"/>
      <c r="E39" s="105"/>
      <c r="F39" s="105"/>
      <c r="G39" s="106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s="26" customFormat="1" ht="28.8" customHeight="1" x14ac:dyDescent="0.3">
      <c r="A40" s="103" t="s">
        <v>53</v>
      </c>
      <c r="B40" s="107"/>
      <c r="C40" s="105"/>
      <c r="D40" s="105"/>
      <c r="E40" s="105"/>
      <c r="F40" s="105"/>
      <c r="G40" s="106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s="26" customFormat="1" ht="15" customHeight="1" x14ac:dyDescent="0.3">
      <c r="A41" s="103" t="s">
        <v>54</v>
      </c>
      <c r="B41" s="107"/>
      <c r="C41" s="105"/>
      <c r="D41" s="105"/>
      <c r="E41" s="105"/>
      <c r="F41" s="105"/>
      <c r="G41" s="10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s="26" customFormat="1" ht="15" customHeight="1" x14ac:dyDescent="0.3">
      <c r="A42" s="103" t="s">
        <v>60</v>
      </c>
      <c r="B42" s="107"/>
      <c r="C42" s="105"/>
      <c r="D42" s="105"/>
      <c r="E42" s="105"/>
      <c r="F42" s="105"/>
      <c r="G42" s="106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s="24" customFormat="1" ht="28.2" customHeight="1" x14ac:dyDescent="0.3">
      <c r="A43" s="96" t="s">
        <v>59</v>
      </c>
      <c r="B43" s="97"/>
      <c r="C43" s="97"/>
      <c r="D43" s="97"/>
      <c r="E43" s="97"/>
      <c r="F43" s="97"/>
      <c r="G43" s="98"/>
    </row>
    <row r="44" spans="1:22" ht="15" customHeight="1" x14ac:dyDescent="0.3">
      <c r="A44" s="49"/>
      <c r="B44" s="50"/>
      <c r="C44" s="50"/>
      <c r="D44" s="50"/>
      <c r="E44" s="50"/>
      <c r="F44" s="50"/>
      <c r="G44" s="50"/>
      <c r="H44" s="50"/>
      <c r="I44" s="50"/>
    </row>
    <row r="45" spans="1:22" ht="15" hidden="1" customHeight="1" x14ac:dyDescent="0.3">
      <c r="A45" s="51" t="s">
        <v>0</v>
      </c>
      <c r="B45" s="52"/>
      <c r="C45" s="53">
        <v>2016</v>
      </c>
      <c r="D45" s="53">
        <v>2017</v>
      </c>
      <c r="E45" s="53">
        <v>2018</v>
      </c>
      <c r="F45" s="53">
        <v>2019</v>
      </c>
      <c r="G45" s="53">
        <v>2020</v>
      </c>
      <c r="H45" s="53">
        <v>2021</v>
      </c>
      <c r="I45" s="53">
        <v>2022</v>
      </c>
      <c r="J45" s="53">
        <v>2023</v>
      </c>
      <c r="K45" s="53">
        <v>2024</v>
      </c>
      <c r="L45" s="54">
        <v>2025</v>
      </c>
      <c r="M45" s="55">
        <v>2026</v>
      </c>
      <c r="N45" s="54">
        <v>2027</v>
      </c>
      <c r="O45" s="54">
        <v>2028</v>
      </c>
      <c r="P45" s="54">
        <v>2029</v>
      </c>
      <c r="Q45" s="54">
        <v>2030</v>
      </c>
      <c r="R45" s="54">
        <v>2031</v>
      </c>
      <c r="S45" s="54">
        <v>2032</v>
      </c>
      <c r="T45" s="54">
        <v>2033</v>
      </c>
      <c r="U45" s="54">
        <v>2034</v>
      </c>
      <c r="V45" s="56">
        <v>2035</v>
      </c>
    </row>
    <row r="46" spans="1:22" ht="15" hidden="1" customHeight="1" x14ac:dyDescent="0.3">
      <c r="A46" s="3" t="s">
        <v>4</v>
      </c>
      <c r="B46" s="57">
        <v>0.04</v>
      </c>
      <c r="C46" s="58">
        <v>20.3</v>
      </c>
      <c r="D46" s="58">
        <v>22.24</v>
      </c>
      <c r="E46" s="58">
        <v>25.18</v>
      </c>
      <c r="F46" s="58">
        <v>28.19</v>
      </c>
      <c r="G46" s="58">
        <v>31.43</v>
      </c>
      <c r="H46" s="58">
        <v>34.67</v>
      </c>
      <c r="I46" s="58">
        <v>37.159999999999997</v>
      </c>
      <c r="J46" s="58">
        <v>39.06</v>
      </c>
      <c r="K46" s="58">
        <v>40.840000000000003</v>
      </c>
      <c r="L46" s="58">
        <v>42.49</v>
      </c>
      <c r="M46" s="58">
        <v>42.49</v>
      </c>
      <c r="N46" s="58">
        <v>42.49</v>
      </c>
      <c r="O46" s="58">
        <v>42.49</v>
      </c>
      <c r="P46" s="58">
        <v>42.49</v>
      </c>
      <c r="Q46" s="58">
        <v>42.49</v>
      </c>
      <c r="R46" s="58">
        <v>42.49</v>
      </c>
      <c r="S46" s="58">
        <v>42.49</v>
      </c>
      <c r="T46" s="58">
        <v>42.49</v>
      </c>
      <c r="U46" s="58">
        <v>42.49</v>
      </c>
      <c r="V46" s="58">
        <v>42.49</v>
      </c>
    </row>
    <row r="47" spans="1:22" ht="15" hidden="1" customHeight="1" x14ac:dyDescent="0.3">
      <c r="A47" s="60" t="s">
        <v>5</v>
      </c>
      <c r="B47" s="57">
        <v>0.55000000000000004</v>
      </c>
      <c r="C47" s="58">
        <v>2.67</v>
      </c>
      <c r="D47" s="58">
        <v>4</v>
      </c>
      <c r="E47" s="58">
        <v>4</v>
      </c>
      <c r="F47" s="58">
        <v>4</v>
      </c>
      <c r="G47" s="58">
        <v>4</v>
      </c>
      <c r="H47" s="58">
        <v>5</v>
      </c>
      <c r="I47" s="58">
        <v>5</v>
      </c>
      <c r="J47" s="58">
        <v>5</v>
      </c>
      <c r="K47" s="58">
        <v>5</v>
      </c>
      <c r="L47" s="58">
        <v>5</v>
      </c>
      <c r="M47" s="58">
        <v>5</v>
      </c>
      <c r="N47" s="58">
        <v>5</v>
      </c>
      <c r="O47" s="58">
        <v>5</v>
      </c>
      <c r="P47" s="58">
        <v>5</v>
      </c>
      <c r="Q47" s="58">
        <v>5</v>
      </c>
      <c r="R47" s="58">
        <v>5</v>
      </c>
      <c r="S47" s="58">
        <v>5</v>
      </c>
      <c r="T47" s="58">
        <v>5</v>
      </c>
      <c r="U47" s="58">
        <v>5</v>
      </c>
      <c r="V47" s="59">
        <v>5</v>
      </c>
    </row>
    <row r="48" spans="1:22" ht="15" hidden="1" customHeight="1" x14ac:dyDescent="0.3">
      <c r="A48" s="61" t="s">
        <v>8</v>
      </c>
      <c r="B48" s="62">
        <v>3.58</v>
      </c>
      <c r="C48" s="63">
        <v>1</v>
      </c>
      <c r="D48" s="63">
        <v>2</v>
      </c>
      <c r="E48" s="25">
        <v>3</v>
      </c>
      <c r="F48" s="25">
        <v>4</v>
      </c>
      <c r="G48" s="25">
        <v>5</v>
      </c>
      <c r="H48" s="25">
        <v>6</v>
      </c>
      <c r="I48" s="25">
        <v>7</v>
      </c>
      <c r="J48" s="25">
        <v>8</v>
      </c>
      <c r="K48" s="25">
        <v>9</v>
      </c>
      <c r="L48" s="25">
        <v>10</v>
      </c>
      <c r="M48" s="64">
        <v>11</v>
      </c>
      <c r="N48" s="64">
        <v>12</v>
      </c>
      <c r="O48" s="64">
        <v>13</v>
      </c>
      <c r="P48" s="64">
        <v>14</v>
      </c>
      <c r="Q48" s="64">
        <v>15</v>
      </c>
      <c r="R48" s="64">
        <v>16</v>
      </c>
      <c r="S48" s="64">
        <v>17</v>
      </c>
      <c r="T48" s="64">
        <v>18</v>
      </c>
      <c r="U48" s="64">
        <v>19</v>
      </c>
      <c r="V48" s="65">
        <v>20</v>
      </c>
    </row>
    <row r="49" spans="1:22" ht="15" hidden="1" customHeight="1" x14ac:dyDescent="0.3">
      <c r="A49" s="66"/>
      <c r="B49" s="63"/>
      <c r="C49" s="63" t="s">
        <v>9</v>
      </c>
      <c r="D49" s="63" t="s">
        <v>10</v>
      </c>
      <c r="E49" s="67" t="s">
        <v>25</v>
      </c>
      <c r="F49" s="67" t="s">
        <v>39</v>
      </c>
      <c r="G49" s="32" t="s">
        <v>33</v>
      </c>
      <c r="M49" s="68"/>
      <c r="N49" s="68"/>
      <c r="O49" s="68"/>
      <c r="P49" s="68"/>
      <c r="Q49" s="68"/>
      <c r="R49" s="68"/>
      <c r="S49" s="68"/>
      <c r="T49" s="68"/>
      <c r="U49" s="68"/>
      <c r="V49" s="69"/>
    </row>
    <row r="50" spans="1:22" ht="15" hidden="1" customHeight="1" x14ac:dyDescent="0.3">
      <c r="A50" s="61" t="s">
        <v>16</v>
      </c>
      <c r="B50" s="70">
        <f>IF(AND(B10&lt;=1.7),B10*((0.95*G16)+(0.25*G17))*7.48/12,1.7*((0.95*G16)+(0.25*G17))*7.48/12)</f>
        <v>0</v>
      </c>
      <c r="C50" s="70"/>
      <c r="D50" s="70"/>
      <c r="E50" s="67"/>
      <c r="F50" s="67"/>
      <c r="G50" s="67"/>
      <c r="H50" s="67"/>
      <c r="I50" s="67"/>
      <c r="J50" s="67"/>
      <c r="K50" s="67"/>
      <c r="L50" s="67"/>
      <c r="M50" s="68"/>
      <c r="N50" s="68"/>
      <c r="O50" s="68"/>
      <c r="P50" s="68"/>
      <c r="Q50" s="68"/>
      <c r="R50" s="68"/>
      <c r="S50" s="68"/>
      <c r="T50" s="68"/>
      <c r="U50" s="68"/>
      <c r="V50" s="69"/>
    </row>
    <row r="51" spans="1:22" ht="15" hidden="1" customHeight="1" x14ac:dyDescent="0.3">
      <c r="A51" s="61" t="s">
        <v>19</v>
      </c>
      <c r="B51" s="70">
        <f>B50*0.5</f>
        <v>0</v>
      </c>
      <c r="C51" s="70"/>
      <c r="D51" s="70"/>
      <c r="E51" s="67"/>
      <c r="F51" s="67"/>
      <c r="G51" s="67"/>
      <c r="H51" s="67"/>
      <c r="I51" s="67"/>
      <c r="J51" s="67"/>
      <c r="K51" s="67"/>
      <c r="L51" s="67"/>
      <c r="M51" s="68"/>
      <c r="N51" s="68"/>
      <c r="O51" s="68"/>
      <c r="P51" s="68"/>
      <c r="Q51" s="68"/>
      <c r="R51" s="68"/>
      <c r="S51" s="68"/>
      <c r="T51" s="68"/>
      <c r="U51" s="68"/>
      <c r="V51" s="69"/>
    </row>
    <row r="52" spans="1:22" ht="15" hidden="1" customHeight="1" x14ac:dyDescent="0.3">
      <c r="A52" s="61" t="s">
        <v>26</v>
      </c>
      <c r="B52" s="70">
        <f>IF(G15/1000&gt;11.1,13.5,IF(G15/1000&gt;7.1,8.6,IF(G15/1000&gt;3.1,3.8,IF(G15/1000&gt;2.1,2.4,IF(G15/1000&gt;0.7,1,0.6)))))</f>
        <v>0.6</v>
      </c>
      <c r="C52" s="70"/>
      <c r="D52" s="70"/>
      <c r="E52" s="67"/>
      <c r="F52" s="67"/>
      <c r="G52" s="67"/>
      <c r="H52" s="67"/>
      <c r="I52" s="67"/>
      <c r="J52" s="67"/>
      <c r="K52" s="67"/>
      <c r="L52" s="67"/>
      <c r="M52" s="68"/>
      <c r="N52" s="68"/>
      <c r="O52" s="68"/>
      <c r="P52" s="68"/>
      <c r="Q52" s="68"/>
      <c r="R52" s="68"/>
      <c r="S52" s="68"/>
      <c r="T52" s="68"/>
      <c r="U52" s="68"/>
      <c r="V52" s="69"/>
    </row>
    <row r="53" spans="1:22" ht="15" hidden="1" customHeight="1" x14ac:dyDescent="0.3">
      <c r="A53" s="61" t="s">
        <v>27</v>
      </c>
      <c r="B53" s="70">
        <f>IF(G16/1000&gt;11.1,13.5,IF(G16/1000&gt;7.1,8.6,IF(G16/1000&gt;3.1,3.8,IF(G16/1000&gt;2.1,2.4,IF(G16/1000&gt;0.7,1,0.6)))))</f>
        <v>0.6</v>
      </c>
      <c r="C53" s="70"/>
      <c r="D53" s="70"/>
      <c r="E53" s="67"/>
      <c r="F53" s="67"/>
      <c r="G53" s="67"/>
      <c r="H53" s="67"/>
      <c r="I53" s="67"/>
      <c r="J53" s="67"/>
      <c r="K53" s="67"/>
      <c r="L53" s="67"/>
      <c r="M53" s="68"/>
      <c r="N53" s="68"/>
      <c r="O53" s="68"/>
      <c r="P53" s="68"/>
      <c r="Q53" s="68"/>
      <c r="R53" s="68"/>
      <c r="S53" s="68"/>
      <c r="T53" s="68"/>
      <c r="U53" s="68"/>
      <c r="V53" s="69"/>
    </row>
    <row r="54" spans="1:22" s="24" customFormat="1" ht="15" hidden="1" customHeight="1" x14ac:dyDescent="0.25">
      <c r="A54" s="71" t="s">
        <v>28</v>
      </c>
      <c r="B54" s="72"/>
      <c r="C54" s="73">
        <f t="shared" ref="C54:V54" si="4">IF($B$3&gt;=C48,IF($B$4="Residential",C46*$B$53*12*-1,C46*($B$16/1000)*12*-1),0)</f>
        <v>0</v>
      </c>
      <c r="D54" s="73">
        <f t="shared" si="4"/>
        <v>0</v>
      </c>
      <c r="E54" s="73">
        <f t="shared" si="4"/>
        <v>0</v>
      </c>
      <c r="F54" s="73">
        <f t="shared" si="4"/>
        <v>0</v>
      </c>
      <c r="G54" s="73">
        <f t="shared" si="4"/>
        <v>0</v>
      </c>
      <c r="H54" s="73">
        <f t="shared" si="4"/>
        <v>0</v>
      </c>
      <c r="I54" s="73">
        <f t="shared" si="4"/>
        <v>0</v>
      </c>
      <c r="J54" s="73">
        <f t="shared" si="4"/>
        <v>0</v>
      </c>
      <c r="K54" s="73">
        <f t="shared" si="4"/>
        <v>0</v>
      </c>
      <c r="L54" s="73">
        <f t="shared" si="4"/>
        <v>0</v>
      </c>
      <c r="M54" s="73">
        <f t="shared" si="4"/>
        <v>0</v>
      </c>
      <c r="N54" s="73">
        <f t="shared" si="4"/>
        <v>0</v>
      </c>
      <c r="O54" s="73">
        <f t="shared" si="4"/>
        <v>0</v>
      </c>
      <c r="P54" s="73">
        <f t="shared" si="4"/>
        <v>0</v>
      </c>
      <c r="Q54" s="73">
        <f t="shared" si="4"/>
        <v>0</v>
      </c>
      <c r="R54" s="73">
        <f t="shared" si="4"/>
        <v>0</v>
      </c>
      <c r="S54" s="73">
        <f t="shared" si="4"/>
        <v>0</v>
      </c>
      <c r="T54" s="73">
        <f t="shared" si="4"/>
        <v>0</v>
      </c>
      <c r="U54" s="73">
        <f t="shared" si="4"/>
        <v>0</v>
      </c>
      <c r="V54" s="74">
        <f t="shared" si="4"/>
        <v>0</v>
      </c>
    </row>
    <row r="55" spans="1:22" s="24" customFormat="1" ht="15" hidden="1" customHeight="1" x14ac:dyDescent="0.25">
      <c r="A55" s="71" t="s">
        <v>29</v>
      </c>
      <c r="B55" s="72"/>
      <c r="C55" s="73">
        <f t="shared" ref="C55:V55" si="5">IF($B$3&gt;=C48,IF($B$4="Residential",C47*$B$53*12*-1,C47*($B$16/1000)*12*-1),0)</f>
        <v>0</v>
      </c>
      <c r="D55" s="73">
        <f t="shared" si="5"/>
        <v>0</v>
      </c>
      <c r="E55" s="73">
        <f t="shared" si="5"/>
        <v>0</v>
      </c>
      <c r="F55" s="73">
        <f t="shared" si="5"/>
        <v>0</v>
      </c>
      <c r="G55" s="73">
        <f t="shared" si="5"/>
        <v>0</v>
      </c>
      <c r="H55" s="73">
        <f t="shared" si="5"/>
        <v>0</v>
      </c>
      <c r="I55" s="73">
        <f t="shared" si="5"/>
        <v>0</v>
      </c>
      <c r="J55" s="73">
        <f t="shared" si="5"/>
        <v>0</v>
      </c>
      <c r="K55" s="73">
        <f t="shared" si="5"/>
        <v>0</v>
      </c>
      <c r="L55" s="73">
        <f t="shared" si="5"/>
        <v>0</v>
      </c>
      <c r="M55" s="73">
        <f t="shared" si="5"/>
        <v>0</v>
      </c>
      <c r="N55" s="73">
        <f t="shared" si="5"/>
        <v>0</v>
      </c>
      <c r="O55" s="73">
        <f t="shared" si="5"/>
        <v>0</v>
      </c>
      <c r="P55" s="73">
        <f t="shared" si="5"/>
        <v>0</v>
      </c>
      <c r="Q55" s="73">
        <f t="shared" si="5"/>
        <v>0</v>
      </c>
      <c r="R55" s="73">
        <f t="shared" si="5"/>
        <v>0</v>
      </c>
      <c r="S55" s="73">
        <f t="shared" si="5"/>
        <v>0</v>
      </c>
      <c r="T55" s="73">
        <f t="shared" si="5"/>
        <v>0</v>
      </c>
      <c r="U55" s="73">
        <f t="shared" si="5"/>
        <v>0</v>
      </c>
      <c r="V55" s="74">
        <f t="shared" si="5"/>
        <v>0</v>
      </c>
    </row>
    <row r="56" spans="1:22" ht="15" hidden="1" customHeight="1" x14ac:dyDescent="0.3">
      <c r="A56" s="61" t="s">
        <v>21</v>
      </c>
      <c r="B56" s="70"/>
      <c r="C56" s="75">
        <f t="shared" ref="C56:V56" si="6">$B$50*C26</f>
        <v>0</v>
      </c>
      <c r="D56" s="75">
        <f t="shared" si="6"/>
        <v>0</v>
      </c>
      <c r="E56" s="75">
        <f t="shared" si="6"/>
        <v>0</v>
      </c>
      <c r="F56" s="75">
        <f t="shared" si="6"/>
        <v>0</v>
      </c>
      <c r="G56" s="75">
        <f t="shared" si="6"/>
        <v>0</v>
      </c>
      <c r="H56" s="75">
        <f t="shared" si="6"/>
        <v>0</v>
      </c>
      <c r="I56" s="75">
        <f t="shared" si="6"/>
        <v>0</v>
      </c>
      <c r="J56" s="75">
        <f t="shared" si="6"/>
        <v>0</v>
      </c>
      <c r="K56" s="75">
        <f t="shared" si="6"/>
        <v>0</v>
      </c>
      <c r="L56" s="75">
        <f t="shared" si="6"/>
        <v>0</v>
      </c>
      <c r="M56" s="75">
        <f t="shared" si="6"/>
        <v>0</v>
      </c>
      <c r="N56" s="75">
        <f t="shared" si="6"/>
        <v>0</v>
      </c>
      <c r="O56" s="75">
        <f t="shared" si="6"/>
        <v>0</v>
      </c>
      <c r="P56" s="75">
        <f t="shared" si="6"/>
        <v>0</v>
      </c>
      <c r="Q56" s="75">
        <f t="shared" si="6"/>
        <v>0</v>
      </c>
      <c r="R56" s="75">
        <f t="shared" si="6"/>
        <v>0</v>
      </c>
      <c r="S56" s="75">
        <f t="shared" si="6"/>
        <v>0</v>
      </c>
      <c r="T56" s="75">
        <f t="shared" si="6"/>
        <v>0</v>
      </c>
      <c r="U56" s="75">
        <f t="shared" si="6"/>
        <v>0</v>
      </c>
      <c r="V56" s="76">
        <f t="shared" si="6"/>
        <v>0</v>
      </c>
    </row>
    <row r="57" spans="1:22" ht="15" hidden="1" customHeight="1" x14ac:dyDescent="0.3">
      <c r="A57" s="61" t="s">
        <v>17</v>
      </c>
      <c r="B57" s="70"/>
      <c r="C57" s="75">
        <f t="shared" ref="C57:V57" si="7">$B$50*C19</f>
        <v>0</v>
      </c>
      <c r="D57" s="75">
        <f t="shared" si="7"/>
        <v>0</v>
      </c>
      <c r="E57" s="75">
        <f t="shared" si="7"/>
        <v>0</v>
      </c>
      <c r="F57" s="75">
        <f t="shared" si="7"/>
        <v>0</v>
      </c>
      <c r="G57" s="75">
        <f t="shared" si="7"/>
        <v>0</v>
      </c>
      <c r="H57" s="75">
        <f t="shared" si="7"/>
        <v>0</v>
      </c>
      <c r="I57" s="75">
        <f t="shared" si="7"/>
        <v>0</v>
      </c>
      <c r="J57" s="75">
        <f t="shared" si="7"/>
        <v>0</v>
      </c>
      <c r="K57" s="75">
        <f t="shared" si="7"/>
        <v>0</v>
      </c>
      <c r="L57" s="75">
        <f t="shared" si="7"/>
        <v>0</v>
      </c>
      <c r="M57" s="75">
        <f t="shared" si="7"/>
        <v>0</v>
      </c>
      <c r="N57" s="75">
        <f t="shared" si="7"/>
        <v>0</v>
      </c>
      <c r="O57" s="75">
        <f t="shared" si="7"/>
        <v>0</v>
      </c>
      <c r="P57" s="75">
        <f t="shared" si="7"/>
        <v>0</v>
      </c>
      <c r="Q57" s="75">
        <f t="shared" si="7"/>
        <v>0</v>
      </c>
      <c r="R57" s="75">
        <f t="shared" si="7"/>
        <v>0</v>
      </c>
      <c r="S57" s="75">
        <f t="shared" si="7"/>
        <v>0</v>
      </c>
      <c r="T57" s="75">
        <f t="shared" si="7"/>
        <v>0</v>
      </c>
      <c r="U57" s="75">
        <f t="shared" si="7"/>
        <v>0</v>
      </c>
      <c r="V57" s="76">
        <f t="shared" si="7"/>
        <v>0</v>
      </c>
    </row>
    <row r="58" spans="1:22" ht="15" hidden="1" customHeight="1" x14ac:dyDescent="0.3">
      <c r="A58" s="61" t="s">
        <v>18</v>
      </c>
      <c r="B58" s="70"/>
      <c r="C58" s="75">
        <f>C57*0.5</f>
        <v>0</v>
      </c>
      <c r="D58" s="75">
        <f t="shared" ref="D58:V58" si="8">D57*0.5</f>
        <v>0</v>
      </c>
      <c r="E58" s="75">
        <f t="shared" si="8"/>
        <v>0</v>
      </c>
      <c r="F58" s="75">
        <f t="shared" si="8"/>
        <v>0</v>
      </c>
      <c r="G58" s="75">
        <f t="shared" si="8"/>
        <v>0</v>
      </c>
      <c r="H58" s="75">
        <f t="shared" si="8"/>
        <v>0</v>
      </c>
      <c r="I58" s="75">
        <f t="shared" si="8"/>
        <v>0</v>
      </c>
      <c r="J58" s="75">
        <f t="shared" si="8"/>
        <v>0</v>
      </c>
      <c r="K58" s="75">
        <f t="shared" si="8"/>
        <v>0</v>
      </c>
      <c r="L58" s="75">
        <f t="shared" si="8"/>
        <v>0</v>
      </c>
      <c r="M58" s="75">
        <f t="shared" si="8"/>
        <v>0</v>
      </c>
      <c r="N58" s="75">
        <f t="shared" si="8"/>
        <v>0</v>
      </c>
      <c r="O58" s="75">
        <f t="shared" si="8"/>
        <v>0</v>
      </c>
      <c r="P58" s="75">
        <f t="shared" si="8"/>
        <v>0</v>
      </c>
      <c r="Q58" s="75">
        <f t="shared" si="8"/>
        <v>0</v>
      </c>
      <c r="R58" s="75">
        <f t="shared" si="8"/>
        <v>0</v>
      </c>
      <c r="S58" s="75">
        <f t="shared" si="8"/>
        <v>0</v>
      </c>
      <c r="T58" s="75">
        <f t="shared" si="8"/>
        <v>0</v>
      </c>
      <c r="U58" s="75">
        <f t="shared" si="8"/>
        <v>0</v>
      </c>
      <c r="V58" s="76">
        <f t="shared" si="8"/>
        <v>0</v>
      </c>
    </row>
    <row r="59" spans="1:22" ht="15" hidden="1" customHeight="1" x14ac:dyDescent="0.3">
      <c r="A59" s="77" t="s">
        <v>15</v>
      </c>
      <c r="B59" s="67"/>
      <c r="C59" s="78">
        <f>IF(AND($B$8-C58&gt;=0,$B$3&gt;=1),$B$8-C58,0)</f>
        <v>0</v>
      </c>
      <c r="D59" s="78">
        <f>IF(AND($B$8-D58&gt;=0,$B$3&gt;=2),C59-D58,0)</f>
        <v>0</v>
      </c>
      <c r="E59" s="78">
        <f>IF(AND($B$8-E58&gt;=0,$B$3&gt;=3),D59-E58,0)</f>
        <v>0</v>
      </c>
      <c r="F59" s="78">
        <f>IF(AND($B$8-F58&gt;=0,$B$3&gt;=4),E59-F58,0)</f>
        <v>0</v>
      </c>
      <c r="G59" s="78">
        <f>IF(AND($B$8-G58&gt;=0,$B$3&gt;=5),F59-G58,0)</f>
        <v>0</v>
      </c>
      <c r="H59" s="78">
        <f>IF(AND($B$8-H58&gt;=0,$B$3&gt;=6),G59-H58,0)</f>
        <v>0</v>
      </c>
      <c r="I59" s="78">
        <f>IF(AND($B$8-I58&gt;=0,$B$3&gt;=7),H59-I58,0)</f>
        <v>0</v>
      </c>
      <c r="J59" s="78">
        <f>IF(AND($B$8-J58&gt;=0,$B$3&gt;=8),I59-J58,0)</f>
        <v>0</v>
      </c>
      <c r="K59" s="78">
        <f>IF(AND($B$8-K58&gt;=0,$B$3&gt;=9),J59-K58,0)</f>
        <v>0</v>
      </c>
      <c r="L59" s="78">
        <f>IF(AND($B$8-L58&gt;=0,$B$3&gt;=10),K59-L58,0)</f>
        <v>0</v>
      </c>
      <c r="M59" s="78">
        <f>IF(AND($B$8-M58&gt;=0,$B$3&gt;=11),L59-M58,0)</f>
        <v>0</v>
      </c>
      <c r="N59" s="78">
        <f>IF(AND($B$8-N58&gt;=0,$B$3&gt;=12),M59-N58,0)</f>
        <v>0</v>
      </c>
      <c r="O59" s="78">
        <f>IF(AND($B$8-O58&gt;=0,$B$3&gt;=13),N59-O58,0)</f>
        <v>0</v>
      </c>
      <c r="P59" s="78">
        <f>IF(AND($B$8-P58&gt;=0,$B$3&gt;=14),O59-P58,0)</f>
        <v>0</v>
      </c>
      <c r="Q59" s="78">
        <f>IF(AND($B$8-Q58&gt;=0,$B$3&gt;=15),P59-Q58,0)</f>
        <v>0</v>
      </c>
      <c r="R59" s="78">
        <f>IF(AND($B$8-R58&gt;=0,$B$3&gt;=16),Q59-R58,0)</f>
        <v>0</v>
      </c>
      <c r="S59" s="78">
        <f>IF(AND($B$8-S58&gt;=0,$B$3&gt;=17),R59-S58,0)</f>
        <v>0</v>
      </c>
      <c r="T59" s="78">
        <f>IF(AND($B$8-T58&gt;=0,$B$3&gt;=18),S59-T58,0)</f>
        <v>0</v>
      </c>
      <c r="U59" s="78">
        <f>IF(AND($B$8-U58&gt;=0,$B$3&gt;=19),T59-U58,0)</f>
        <v>0</v>
      </c>
      <c r="V59" s="79">
        <f>IF(AND($B$8-V58&gt;=0,$B$3&gt;=20),U59-V58,0)</f>
        <v>0</v>
      </c>
    </row>
    <row r="60" spans="1:22" ht="15" hidden="1" customHeight="1" x14ac:dyDescent="0.3">
      <c r="A60" s="80" t="s">
        <v>34</v>
      </c>
      <c r="B60" s="81"/>
      <c r="C60" s="82">
        <f>IF(C34&lt;0,C34*$B$7,0)</f>
        <v>0</v>
      </c>
      <c r="D60" s="82">
        <f t="shared" ref="D60:V60" si="9">IF(D34&lt;0,D34*$B$7,0)</f>
        <v>0</v>
      </c>
      <c r="E60" s="82">
        <f t="shared" si="9"/>
        <v>0</v>
      </c>
      <c r="F60" s="82">
        <f t="shared" si="9"/>
        <v>0</v>
      </c>
      <c r="G60" s="82">
        <f t="shared" si="9"/>
        <v>0</v>
      </c>
      <c r="H60" s="82">
        <f t="shared" si="9"/>
        <v>0</v>
      </c>
      <c r="I60" s="82">
        <f t="shared" si="9"/>
        <v>0</v>
      </c>
      <c r="J60" s="82">
        <f t="shared" si="9"/>
        <v>0</v>
      </c>
      <c r="K60" s="82">
        <f t="shared" si="9"/>
        <v>0</v>
      </c>
      <c r="L60" s="82">
        <f t="shared" si="9"/>
        <v>0</v>
      </c>
      <c r="M60" s="82">
        <f t="shared" si="9"/>
        <v>0</v>
      </c>
      <c r="N60" s="82">
        <f t="shared" si="9"/>
        <v>0</v>
      </c>
      <c r="O60" s="82">
        <f t="shared" si="9"/>
        <v>0</v>
      </c>
      <c r="P60" s="82">
        <f t="shared" si="9"/>
        <v>0</v>
      </c>
      <c r="Q60" s="82">
        <f t="shared" si="9"/>
        <v>0</v>
      </c>
      <c r="R60" s="82">
        <f t="shared" si="9"/>
        <v>0</v>
      </c>
      <c r="S60" s="82">
        <f t="shared" si="9"/>
        <v>0</v>
      </c>
      <c r="T60" s="82">
        <f t="shared" si="9"/>
        <v>0</v>
      </c>
      <c r="U60" s="82">
        <f t="shared" si="9"/>
        <v>0</v>
      </c>
      <c r="V60" s="83">
        <f t="shared" si="9"/>
        <v>0</v>
      </c>
    </row>
    <row r="61" spans="1:22" ht="15" customHeight="1" x14ac:dyDescent="0.3">
      <c r="C61" s="84"/>
    </row>
    <row r="62" spans="1:22" hidden="1" x14ac:dyDescent="0.3">
      <c r="C62" s="31"/>
    </row>
    <row r="63" spans="1:22" hidden="1" x14ac:dyDescent="0.3"/>
    <row r="64" spans="1:22" hidden="1" x14ac:dyDescent="0.3"/>
    <row r="65" spans="4:10" hidden="1" x14ac:dyDescent="0.3"/>
    <row r="66" spans="4:10" hidden="1" x14ac:dyDescent="0.3"/>
    <row r="67" spans="4:10" hidden="1" x14ac:dyDescent="0.3"/>
    <row r="68" spans="4:10" hidden="1" x14ac:dyDescent="0.3"/>
    <row r="69" spans="4:10" hidden="1" x14ac:dyDescent="0.3"/>
    <row r="70" spans="4:10" hidden="1" x14ac:dyDescent="0.3"/>
    <row r="71" spans="4:10" hidden="1" x14ac:dyDescent="0.3">
      <c r="D71" s="31"/>
      <c r="E71" s="24"/>
      <c r="F71" s="24"/>
      <c r="G71" s="24"/>
      <c r="H71" s="24"/>
      <c r="I71" s="31"/>
      <c r="J71" s="24"/>
    </row>
    <row r="72" spans="4:10" hidden="1" x14ac:dyDescent="0.3">
      <c r="D72" s="31"/>
      <c r="E72" s="24"/>
      <c r="F72" s="24"/>
      <c r="G72" s="24"/>
      <c r="H72" s="24"/>
      <c r="I72" s="24"/>
      <c r="J72" s="24"/>
    </row>
  </sheetData>
  <sheetProtection password="9DCD" sheet="1" objects="1" scenarios="1" formatColumns="0" formatRows="0"/>
  <mergeCells count="15">
    <mergeCell ref="A2:G2"/>
    <mergeCell ref="A1:G1"/>
    <mergeCell ref="A42:G42"/>
    <mergeCell ref="A20:B20"/>
    <mergeCell ref="A36:B36"/>
    <mergeCell ref="A25:B25"/>
    <mergeCell ref="A32:B32"/>
    <mergeCell ref="A26:B26"/>
    <mergeCell ref="A34:B34"/>
    <mergeCell ref="A43:G43"/>
    <mergeCell ref="A37:G37"/>
    <mergeCell ref="A38:G38"/>
    <mergeCell ref="A39:G39"/>
    <mergeCell ref="A40:G40"/>
    <mergeCell ref="A41:G41"/>
  </mergeCells>
  <conditionalFormatting sqref="C27:V27">
    <cfRule type="cellIs" dxfId="70" priority="128" operator="equal">
      <formula>0</formula>
    </cfRule>
  </conditionalFormatting>
  <conditionalFormatting sqref="C23:V24 C54:V55">
    <cfRule type="cellIs" dxfId="69" priority="118" operator="equal">
      <formula>0</formula>
    </cfRule>
  </conditionalFormatting>
  <conditionalFormatting sqref="C28:V29">
    <cfRule type="cellIs" dxfId="68" priority="117" operator="equal">
      <formula>0</formula>
    </cfRule>
  </conditionalFormatting>
  <conditionalFormatting sqref="C26:V26">
    <cfRule type="cellIs" dxfId="67" priority="116" operator="equal">
      <formula>0</formula>
    </cfRule>
  </conditionalFormatting>
  <conditionalFormatting sqref="C31:V31">
    <cfRule type="cellIs" dxfId="66" priority="115" operator="equal">
      <formula>0</formula>
    </cfRule>
  </conditionalFormatting>
  <conditionalFormatting sqref="C33:V35">
    <cfRule type="cellIs" dxfId="65" priority="102" operator="equal">
      <formula>0</formula>
    </cfRule>
  </conditionalFormatting>
  <conditionalFormatting sqref="C22">
    <cfRule type="cellIs" dxfId="64" priority="79" operator="equal">
      <formula>0</formula>
    </cfRule>
  </conditionalFormatting>
  <conditionalFormatting sqref="C19">
    <cfRule type="expression" dxfId="63" priority="49">
      <formula>C19=0</formula>
    </cfRule>
  </conditionalFormatting>
  <conditionalFormatting sqref="H19">
    <cfRule type="expression" dxfId="62" priority="44">
      <formula>H19=0</formula>
    </cfRule>
  </conditionalFormatting>
  <conditionalFormatting sqref="I19">
    <cfRule type="expression" dxfId="61" priority="43">
      <formula>I19=0</formula>
    </cfRule>
  </conditionalFormatting>
  <conditionalFormatting sqref="J19">
    <cfRule type="expression" dxfId="60" priority="42">
      <formula>J19=0</formula>
    </cfRule>
  </conditionalFormatting>
  <conditionalFormatting sqref="K19">
    <cfRule type="expression" dxfId="59" priority="41">
      <formula>K19=0</formula>
    </cfRule>
  </conditionalFormatting>
  <conditionalFormatting sqref="L19">
    <cfRule type="expression" dxfId="58" priority="40">
      <formula>L19=0</formula>
    </cfRule>
  </conditionalFormatting>
  <conditionalFormatting sqref="M19">
    <cfRule type="expression" dxfId="57" priority="39">
      <formula>M19=0</formula>
    </cfRule>
  </conditionalFormatting>
  <conditionalFormatting sqref="N19">
    <cfRule type="expression" dxfId="56" priority="38">
      <formula>N19=0</formula>
    </cfRule>
  </conditionalFormatting>
  <conditionalFormatting sqref="O19">
    <cfRule type="expression" dxfId="55" priority="37">
      <formula>O19=0</formula>
    </cfRule>
  </conditionalFormatting>
  <conditionalFormatting sqref="P19">
    <cfRule type="expression" dxfId="54" priority="36">
      <formula>P19=0</formula>
    </cfRule>
  </conditionalFormatting>
  <conditionalFormatting sqref="Q19">
    <cfRule type="expression" dxfId="53" priority="35">
      <formula>Q19=0</formula>
    </cfRule>
  </conditionalFormatting>
  <conditionalFormatting sqref="R19">
    <cfRule type="expression" dxfId="52" priority="34">
      <formula>R19=0</formula>
    </cfRule>
  </conditionalFormatting>
  <conditionalFormatting sqref="S19">
    <cfRule type="expression" dxfId="51" priority="33">
      <formula>S19=0</formula>
    </cfRule>
  </conditionalFormatting>
  <conditionalFormatting sqref="T19">
    <cfRule type="expression" dxfId="50" priority="32">
      <formula>T19=0</formula>
    </cfRule>
  </conditionalFormatting>
  <conditionalFormatting sqref="U19">
    <cfRule type="expression" dxfId="49" priority="31">
      <formula>U19=0</formula>
    </cfRule>
  </conditionalFormatting>
  <conditionalFormatting sqref="V19">
    <cfRule type="expression" dxfId="48" priority="30">
      <formula>V19=0</formula>
    </cfRule>
  </conditionalFormatting>
  <conditionalFormatting sqref="D19">
    <cfRule type="expression" dxfId="47" priority="48">
      <formula>D19=0</formula>
    </cfRule>
  </conditionalFormatting>
  <conditionalFormatting sqref="E19">
    <cfRule type="expression" dxfId="46" priority="47">
      <formula>E19=0</formula>
    </cfRule>
  </conditionalFormatting>
  <conditionalFormatting sqref="F19">
    <cfRule type="expression" dxfId="45" priority="46">
      <formula>F19=0</formula>
    </cfRule>
  </conditionalFormatting>
  <conditionalFormatting sqref="G19">
    <cfRule type="expression" dxfId="44" priority="45">
      <formula>G19=0</formula>
    </cfRule>
  </conditionalFormatting>
  <conditionalFormatting sqref="I21">
    <cfRule type="expression" dxfId="43" priority="195">
      <formula>IF($I$54=0,TRUE,FALSE)</formula>
    </cfRule>
  </conditionalFormatting>
  <conditionalFormatting sqref="K21">
    <cfRule type="expression" dxfId="42" priority="196">
      <formula>IF($K$54=0,TRUE,FALSE)</formula>
    </cfRule>
  </conditionalFormatting>
  <conditionalFormatting sqref="L21">
    <cfRule type="expression" dxfId="41" priority="197">
      <formula>IF($L$54=0,TRUE,FALSE)</formula>
    </cfRule>
  </conditionalFormatting>
  <conditionalFormatting sqref="M21">
    <cfRule type="expression" dxfId="40" priority="198">
      <formula>IF($M$54=0,TRUE,FALSE)</formula>
    </cfRule>
  </conditionalFormatting>
  <conditionalFormatting sqref="N21">
    <cfRule type="expression" dxfId="39" priority="199">
      <formula>IF($N$54=0,TRUE,FALSE)</formula>
    </cfRule>
  </conditionalFormatting>
  <conditionalFormatting sqref="O21">
    <cfRule type="expression" dxfId="38" priority="200">
      <formula>IF($O$54=0,TRUE,FALSE)</formula>
    </cfRule>
  </conditionalFormatting>
  <conditionalFormatting sqref="P21">
    <cfRule type="expression" dxfId="37" priority="201">
      <formula>IF($P$54=0,TRUE,FALSE)</formula>
    </cfRule>
  </conditionalFormatting>
  <conditionalFormatting sqref="Q21">
    <cfRule type="expression" dxfId="36" priority="202">
      <formula>IF($Q$54=0,TRUE,FALSE)</formula>
    </cfRule>
  </conditionalFormatting>
  <conditionalFormatting sqref="R21">
    <cfRule type="expression" dxfId="35" priority="203">
      <formula>IF($R$54=0,TRUE,FALSE)</formula>
    </cfRule>
  </conditionalFormatting>
  <conditionalFormatting sqref="S21">
    <cfRule type="expression" dxfId="34" priority="204">
      <formula>IF($S$54=0,TRUE,FALSE)</formula>
    </cfRule>
  </conditionalFormatting>
  <conditionalFormatting sqref="T21">
    <cfRule type="expression" dxfId="33" priority="205">
      <formula>IF($T$54=0,TRUE,FALSE)</formula>
    </cfRule>
  </conditionalFormatting>
  <conditionalFormatting sqref="U21">
    <cfRule type="expression" dxfId="32" priority="206">
      <formula>IF($U$54=0,TRUE,FALSE)</formula>
    </cfRule>
  </conditionalFormatting>
  <conditionalFormatting sqref="V21">
    <cfRule type="expression" dxfId="31" priority="207">
      <formula>IF($V$54=0,TRUE,FALSE)</formula>
    </cfRule>
  </conditionalFormatting>
  <conditionalFormatting sqref="A43:G43">
    <cfRule type="expression" dxfId="30" priority="208">
      <formula>IF($D$54=0,TRUE,FALSE)</formula>
    </cfRule>
  </conditionalFormatting>
  <conditionalFormatting sqref="C21">
    <cfRule type="expression" dxfId="29" priority="211">
      <formula>IF($C$54=0,TRUE,FALSE)</formula>
    </cfRule>
  </conditionalFormatting>
  <conditionalFormatting sqref="D21">
    <cfRule type="expression" dxfId="28" priority="212">
      <formula>IF($D$54=0,TRUE,FALSE)</formula>
    </cfRule>
  </conditionalFormatting>
  <conditionalFormatting sqref="E21">
    <cfRule type="expression" dxfId="27" priority="213">
      <formula>IF($E$54=0,TRUE,FALSE)</formula>
    </cfRule>
  </conditionalFormatting>
  <conditionalFormatting sqref="F21">
    <cfRule type="expression" dxfId="26" priority="214">
      <formula>IF($F$54=0,TRUE,FALSE)</formula>
    </cfRule>
  </conditionalFormatting>
  <conditionalFormatting sqref="G21">
    <cfRule type="expression" dxfId="25" priority="215">
      <formula>IF($G$54=0,TRUE,FALSE)</formula>
    </cfRule>
  </conditionalFormatting>
  <conditionalFormatting sqref="H21">
    <cfRule type="expression" dxfId="24" priority="216">
      <formula>IF($H$54=0,TRUE,FALSE)</formula>
    </cfRule>
  </conditionalFormatting>
  <conditionalFormatting sqref="C30:V30">
    <cfRule type="expression" dxfId="23" priority="24">
      <formula>IF($B$3&gt;=1,TRUE,FALSE)</formula>
    </cfRule>
  </conditionalFormatting>
  <conditionalFormatting sqref="J21">
    <cfRule type="expression" dxfId="22" priority="6">
      <formula>IF($J$54=0,TRUE,FALSE)</formula>
    </cfRule>
  </conditionalFormatting>
  <conditionalFormatting sqref="E26">
    <cfRule type="expression" dxfId="21" priority="217">
      <formula>IF(AND($B$3&gt;=3,$B$12="Yes"),TRUE,FALSE)</formula>
    </cfRule>
  </conditionalFormatting>
  <conditionalFormatting sqref="F26">
    <cfRule type="expression" dxfId="20" priority="218">
      <formula>IF(AND($B$3&gt;=4,$B$12="Yes"),TRUE,FALSE)</formula>
    </cfRule>
  </conditionalFormatting>
  <conditionalFormatting sqref="G26">
    <cfRule type="expression" dxfId="19" priority="219">
      <formula>IF(AND($B$3&gt;=5,$B$12="Yes"),TRUE,FALSE)</formula>
    </cfRule>
  </conditionalFormatting>
  <conditionalFormatting sqref="H26">
    <cfRule type="expression" dxfId="18" priority="220">
      <formula>IF(AND($B$3&gt;=6,$B$12="Yes"),TRUE,FALSE)</formula>
    </cfRule>
  </conditionalFormatting>
  <conditionalFormatting sqref="I26">
    <cfRule type="expression" dxfId="17" priority="221">
      <formula>IF(AND($B$3&gt;=7,$B$12="Yes"),TRUE,FALSE)</formula>
    </cfRule>
  </conditionalFormatting>
  <conditionalFormatting sqref="J26">
    <cfRule type="expression" dxfId="16" priority="222">
      <formula>IF(AND($B$3&gt;=8,$B$12="Yes"),TRUE,FALSE)</formula>
    </cfRule>
  </conditionalFormatting>
  <conditionalFormatting sqref="K26">
    <cfRule type="expression" dxfId="15" priority="223">
      <formula>IF(AND($B$3&gt;=9,$B$12="Yes"),TRUE,FALSE)</formula>
    </cfRule>
  </conditionalFormatting>
  <conditionalFormatting sqref="L26">
    <cfRule type="expression" dxfId="14" priority="224">
      <formula>IF(AND($B$3&gt;=10,$B$12="Yes"),TRUE,FALSE)</formula>
    </cfRule>
  </conditionalFormatting>
  <conditionalFormatting sqref="M26">
    <cfRule type="expression" dxfId="13" priority="225">
      <formula>IF(AND($B$3&gt;=11,$B$12="Yes"),TRUE,FALSE)</formula>
    </cfRule>
  </conditionalFormatting>
  <conditionalFormatting sqref="N26">
    <cfRule type="expression" dxfId="12" priority="226">
      <formula>IF(AND($B$3&gt;=12,$B$12="Yes"),TRUE,FALSE)</formula>
    </cfRule>
  </conditionalFormatting>
  <conditionalFormatting sqref="O26">
    <cfRule type="expression" dxfId="11" priority="227">
      <formula>IF(AND($B$3&gt;=13,$B$12="Yes"),TRUE,FALSE)</formula>
    </cfRule>
  </conditionalFormatting>
  <conditionalFormatting sqref="P26">
    <cfRule type="expression" dxfId="10" priority="228">
      <formula>IF(AND($B$3&gt;=14,$B$12="Yes"),TRUE,FALSE)</formula>
    </cfRule>
  </conditionalFormatting>
  <conditionalFormatting sqref="Q26">
    <cfRule type="expression" dxfId="9" priority="229">
      <formula>IF(AND($B$3&gt;=15,$B$12="Yes"),TRUE,FALSE)</formula>
    </cfRule>
  </conditionalFormatting>
  <conditionalFormatting sqref="R26">
    <cfRule type="expression" dxfId="8" priority="230">
      <formula>IF(AND($B$3&gt;=16,$B$12="Yes"),TRUE,FALSE)</formula>
    </cfRule>
  </conditionalFormatting>
  <conditionalFormatting sqref="S26">
    <cfRule type="expression" dxfId="7" priority="231">
      <formula>IF(AND($B$3&gt;=17,$B$12="Yes"),TRUE,FALSE)</formula>
    </cfRule>
  </conditionalFormatting>
  <conditionalFormatting sqref="T26">
    <cfRule type="expression" dxfId="6" priority="232">
      <formula>IF(AND($B$3&gt;=18,$B$12="Yes"),TRUE,FALSE)</formula>
    </cfRule>
  </conditionalFormatting>
  <conditionalFormatting sqref="U26">
    <cfRule type="expression" dxfId="5" priority="233">
      <formula>IF(AND($B$3&gt;=19,$B$12="Yes"),TRUE,FALSE)</formula>
    </cfRule>
  </conditionalFormatting>
  <conditionalFormatting sqref="V26">
    <cfRule type="expression" dxfId="4" priority="234">
      <formula>IF(AND($B$3&gt;=20,$B$12="Yes"),TRUE,FALSE)</formula>
    </cfRule>
  </conditionalFormatting>
  <conditionalFormatting sqref="D26">
    <cfRule type="expression" dxfId="3" priority="235">
      <formula>IF(AND($B$3&gt;=2,$B$12="Yes"),TRUE,FALSE)</formula>
    </cfRule>
  </conditionalFormatting>
  <conditionalFormatting sqref="A42:G42">
    <cfRule type="expression" dxfId="2" priority="3">
      <formula>IF($B$19=0,TRUE,FALSE)</formula>
    </cfRule>
  </conditionalFormatting>
  <conditionalFormatting sqref="A19">
    <cfRule type="expression" dxfId="1" priority="2">
      <formula>IF($B$8=0,TRUE,FALSE)</formula>
    </cfRule>
  </conditionalFormatting>
  <conditionalFormatting sqref="B19">
    <cfRule type="expression" dxfId="0" priority="1">
      <formula>IF($B$8=0,TRUE,FALSE)</formula>
    </cfRule>
  </conditionalFormatting>
  <dataValidations count="4">
    <dataValidation type="list" allowBlank="1" showInputMessage="1" showErrorMessage="1" sqref="B3">
      <formula1>$C$48:$V$48</formula1>
    </dataValidation>
    <dataValidation type="decimal" errorStyle="information" operator="lessThanOrEqual" allowBlank="1" showInputMessage="1" showErrorMessage="1" errorTitle="SRC price exceeds in-lieu fee" error="The SRC price exceeds the in-lieu fee. Please enter a value below $3.50." sqref="B13 B19 B11">
      <formula1>3.5</formula1>
    </dataValidation>
    <dataValidation type="list" allowBlank="1" showInputMessage="1" showErrorMessage="1" sqref="B12">
      <formula1>$C$49:$D$49</formula1>
    </dataValidation>
    <dataValidation type="list" allowBlank="1" showInputMessage="1" showErrorMessage="1" sqref="B4">
      <formula1>$E$49:$G$49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 financial return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</dc:creator>
  <cp:lastModifiedBy>Evan Branosky</cp:lastModifiedBy>
  <cp:lastPrinted>2013-03-15T19:37:24Z</cp:lastPrinted>
  <dcterms:created xsi:type="dcterms:W3CDTF">2011-02-03T04:59:06Z</dcterms:created>
  <dcterms:modified xsi:type="dcterms:W3CDTF">2016-05-05T13:38:22Z</dcterms:modified>
</cp:coreProperties>
</file>